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RINA INDAH\BU IJA\TAHUN 2023\TRIWULAN 4\"/>
    </mc:Choice>
  </mc:AlternateContent>
  <bookViews>
    <workbookView xWindow="0" yWindow="0" windowWidth="24000" windowHeight="9630" firstSheet="1" activeTab="5"/>
  </bookViews>
  <sheets>
    <sheet name="Form 1 TA.2023 ok" sheetId="23" r:id="rId1"/>
    <sheet name="Form 2. KP1 TA. 2023" sheetId="8" r:id="rId2"/>
    <sheet name="Form 3a TA. 2023" sheetId="15" r:id="rId3"/>
    <sheet name="Form 3b TA.2023" sheetId="24" r:id="rId4"/>
    <sheet name="Form 6 TA. 2023 ok" sheetId="18" r:id="rId5"/>
    <sheet name="Form 7 TA. 2023 ok" sheetId="22" r:id="rId6"/>
    <sheet name="Form 8 TA. 2023 ok" sheetId="20" r:id="rId7"/>
    <sheet name="Form 9 TA. 2023 ok" sheetId="19" r:id="rId8"/>
    <sheet name="Form 10 TA. 2023 ok" sheetId="21" r:id="rId9"/>
  </sheets>
  <definedNames>
    <definedName name="_xlnm.Print_Titles" localSheetId="1">'Form 2. KP1 TA. 2023'!$5:$8</definedName>
  </definedNames>
  <calcPr calcId="162913"/>
</workbook>
</file>

<file path=xl/calcChain.xml><?xml version="1.0" encoding="utf-8"?>
<calcChain xmlns="http://schemas.openxmlformats.org/spreadsheetml/2006/main">
  <c r="N10" i="23" l="1"/>
  <c r="N9" i="23"/>
  <c r="N8" i="23"/>
  <c r="U54" i="18"/>
  <c r="U19" i="18"/>
  <c r="K57" i="21"/>
  <c r="D24" i="24"/>
  <c r="N20" i="24"/>
  <c r="N19" i="24"/>
  <c r="N14" i="24"/>
  <c r="N13" i="24"/>
  <c r="N12" i="24"/>
  <c r="U20" i="18" l="1"/>
  <c r="T85" i="18" l="1"/>
  <c r="Q272" i="23"/>
  <c r="T272" i="23" s="1"/>
  <c r="N272" i="23"/>
  <c r="O272" i="23" s="1"/>
  <c r="T271" i="23"/>
  <c r="X271" i="23" s="1"/>
  <c r="N271" i="23"/>
  <c r="T270" i="23"/>
  <c r="X270" i="23" s="1"/>
  <c r="N270" i="23"/>
  <c r="T269" i="23"/>
  <c r="N269" i="23"/>
  <c r="V269" i="23" s="1"/>
  <c r="W269" i="23" s="1"/>
  <c r="T268" i="23"/>
  <c r="U268" i="23" s="1"/>
  <c r="N268" i="23"/>
  <c r="T267" i="23"/>
  <c r="X267" i="23" s="1"/>
  <c r="N267" i="23"/>
  <c r="S266" i="23"/>
  <c r="R266" i="23"/>
  <c r="Q266" i="23"/>
  <c r="P266" i="23"/>
  <c r="M266" i="23"/>
  <c r="L266" i="23"/>
  <c r="K266" i="23"/>
  <c r="J266" i="23"/>
  <c r="I266" i="23"/>
  <c r="T265" i="23"/>
  <c r="U265" i="23" s="1"/>
  <c r="Q265" i="23"/>
  <c r="N265" i="23"/>
  <c r="T264" i="23"/>
  <c r="N264" i="23"/>
  <c r="O264" i="23" s="1"/>
  <c r="X263" i="23"/>
  <c r="U263" i="23"/>
  <c r="T263" i="23"/>
  <c r="N263" i="23"/>
  <c r="V263" i="23" s="1"/>
  <c r="W263" i="23" s="1"/>
  <c r="T262" i="23"/>
  <c r="X262" i="23" s="1"/>
  <c r="N262" i="23"/>
  <c r="X261" i="23"/>
  <c r="T261" i="23"/>
  <c r="N261" i="23"/>
  <c r="V261" i="23" s="1"/>
  <c r="W261" i="23" s="1"/>
  <c r="T260" i="23"/>
  <c r="X260" i="23" s="1"/>
  <c r="N260" i="23"/>
  <c r="V260" i="23" s="1"/>
  <c r="W260" i="23" s="1"/>
  <c r="T259" i="23"/>
  <c r="N259" i="23"/>
  <c r="O259" i="23" s="1"/>
  <c r="T258" i="23"/>
  <c r="X258" i="23" s="1"/>
  <c r="N258" i="23"/>
  <c r="V258" i="23" s="1"/>
  <c r="W258" i="23" s="1"/>
  <c r="T257" i="23"/>
  <c r="X257" i="23" s="1"/>
  <c r="N257" i="23"/>
  <c r="S256" i="23"/>
  <c r="R256" i="23"/>
  <c r="Q256" i="23"/>
  <c r="P256" i="23"/>
  <c r="M256" i="23"/>
  <c r="L256" i="23"/>
  <c r="K256" i="23"/>
  <c r="J256" i="23"/>
  <c r="I256" i="23"/>
  <c r="T255" i="23"/>
  <c r="N255" i="23"/>
  <c r="V255" i="23" s="1"/>
  <c r="W255" i="23" s="1"/>
  <c r="X254" i="23"/>
  <c r="T254" i="23"/>
  <c r="N254" i="23"/>
  <c r="T253" i="23"/>
  <c r="X253" i="23" s="1"/>
  <c r="N253" i="23"/>
  <c r="O253" i="23" s="1"/>
  <c r="T252" i="23"/>
  <c r="N252" i="23"/>
  <c r="V252" i="23" s="1"/>
  <c r="W252" i="23" s="1"/>
  <c r="T251" i="23"/>
  <c r="X251" i="23" s="1"/>
  <c r="N251" i="23"/>
  <c r="T250" i="23"/>
  <c r="N250" i="23"/>
  <c r="O250" i="23" s="1"/>
  <c r="S249" i="23"/>
  <c r="R249" i="23"/>
  <c r="Q249" i="23"/>
  <c r="Q248" i="23" s="1"/>
  <c r="T248" i="23" s="1"/>
  <c r="P249" i="23"/>
  <c r="P248" i="23" s="1"/>
  <c r="M249" i="23"/>
  <c r="L249" i="23"/>
  <c r="K249" i="23"/>
  <c r="J249" i="23"/>
  <c r="I249" i="23"/>
  <c r="I248" i="23" s="1"/>
  <c r="J248" i="23"/>
  <c r="T247" i="23"/>
  <c r="N247" i="23"/>
  <c r="T246" i="23"/>
  <c r="X246" i="23" s="1"/>
  <c r="O246" i="23"/>
  <c r="N246" i="23"/>
  <c r="V245" i="23"/>
  <c r="W245" i="23" s="1"/>
  <c r="T245" i="23"/>
  <c r="N245" i="23"/>
  <c r="O245" i="23" s="1"/>
  <c r="T244" i="23"/>
  <c r="X244" i="23" s="1"/>
  <c r="N244" i="23"/>
  <c r="V243" i="23"/>
  <c r="W243" i="23" s="1"/>
  <c r="T243" i="23"/>
  <c r="N243" i="23"/>
  <c r="S242" i="23"/>
  <c r="R242" i="23"/>
  <c r="Q242" i="23"/>
  <c r="P242" i="23"/>
  <c r="M242" i="23"/>
  <c r="L242" i="23"/>
  <c r="K242" i="23"/>
  <c r="J242" i="23"/>
  <c r="I242" i="23"/>
  <c r="T241" i="23"/>
  <c r="N241" i="23"/>
  <c r="O241" i="23" s="1"/>
  <c r="T240" i="23"/>
  <c r="O240" i="23"/>
  <c r="N240" i="23"/>
  <c r="T239" i="23"/>
  <c r="X239" i="23" s="1"/>
  <c r="N239" i="23"/>
  <c r="T238" i="23"/>
  <c r="X238" i="23" s="1"/>
  <c r="N238" i="23"/>
  <c r="X237" i="23"/>
  <c r="T237" i="23"/>
  <c r="N237" i="23"/>
  <c r="T236" i="23"/>
  <c r="N236" i="23"/>
  <c r="S235" i="23"/>
  <c r="R235" i="23"/>
  <c r="Q235" i="23"/>
  <c r="P235" i="23"/>
  <c r="M235" i="23"/>
  <c r="L235" i="23"/>
  <c r="K235" i="23"/>
  <c r="J235" i="23"/>
  <c r="J212" i="23" s="1"/>
  <c r="I235" i="23"/>
  <c r="Q234" i="23"/>
  <c r="T234" i="23" s="1"/>
  <c r="N234" i="23"/>
  <c r="X233" i="23"/>
  <c r="V233" i="23"/>
  <c r="W233" i="23" s="1"/>
  <c r="U233" i="23"/>
  <c r="T233" i="23"/>
  <c r="N233" i="23"/>
  <c r="O233" i="23" s="1"/>
  <c r="T232" i="23"/>
  <c r="X232" i="23" s="1"/>
  <c r="N232" i="23"/>
  <c r="O232" i="23" s="1"/>
  <c r="T231" i="23"/>
  <c r="U231" i="23" s="1"/>
  <c r="O231" i="23"/>
  <c r="N231" i="23"/>
  <c r="T230" i="23"/>
  <c r="N230" i="23"/>
  <c r="V230" i="23" s="1"/>
  <c r="W230" i="23" s="1"/>
  <c r="T229" i="23"/>
  <c r="X229" i="23" s="1"/>
  <c r="N229" i="23"/>
  <c r="O229" i="23" s="1"/>
  <c r="T228" i="23"/>
  <c r="U228" i="23" s="1"/>
  <c r="N228" i="23"/>
  <c r="S227" i="23"/>
  <c r="R227" i="23"/>
  <c r="Q227" i="23"/>
  <c r="P227" i="23"/>
  <c r="M227" i="23"/>
  <c r="L227" i="23"/>
  <c r="K227" i="23"/>
  <c r="J227" i="23"/>
  <c r="I227" i="23"/>
  <c r="Q226" i="23"/>
  <c r="T226" i="23" s="1"/>
  <c r="N226" i="23"/>
  <c r="T225" i="23"/>
  <c r="U225" i="23" s="1"/>
  <c r="O225" i="23"/>
  <c r="N225" i="23"/>
  <c r="T224" i="23"/>
  <c r="N224" i="23"/>
  <c r="O224" i="23" s="1"/>
  <c r="T223" i="23"/>
  <c r="O223" i="23"/>
  <c r="N223" i="23"/>
  <c r="T222" i="23"/>
  <c r="X222" i="23" s="1"/>
  <c r="N222" i="23"/>
  <c r="S221" i="23"/>
  <c r="R221" i="23"/>
  <c r="Q221" i="23"/>
  <c r="P221" i="23"/>
  <c r="M221" i="23"/>
  <c r="L221" i="23"/>
  <c r="K221" i="23"/>
  <c r="J221" i="23"/>
  <c r="I221" i="23"/>
  <c r="Q220" i="23"/>
  <c r="T220" i="23" s="1"/>
  <c r="X220" i="23" s="1"/>
  <c r="N220" i="23"/>
  <c r="Q219" i="23"/>
  <c r="T219" i="23" s="1"/>
  <c r="U219" i="23" s="1"/>
  <c r="P219" i="23"/>
  <c r="N219" i="23"/>
  <c r="O219" i="23" s="1"/>
  <c r="T218" i="23"/>
  <c r="X218" i="23" s="1"/>
  <c r="Q218" i="23"/>
  <c r="N218" i="23"/>
  <c r="O218" i="23" s="1"/>
  <c r="T217" i="23"/>
  <c r="N217" i="23"/>
  <c r="T216" i="23"/>
  <c r="U216" i="23" s="1"/>
  <c r="O216" i="23"/>
  <c r="N216" i="23"/>
  <c r="T215" i="23"/>
  <c r="N215" i="23"/>
  <c r="T214" i="23"/>
  <c r="X214" i="23" s="1"/>
  <c r="N214" i="23"/>
  <c r="O214" i="23" s="1"/>
  <c r="S213" i="23"/>
  <c r="R213" i="23"/>
  <c r="P213" i="23"/>
  <c r="M213" i="23"/>
  <c r="L213" i="23"/>
  <c r="K213" i="23"/>
  <c r="J213" i="23"/>
  <c r="I213" i="23"/>
  <c r="X211" i="23"/>
  <c r="T211" i="23"/>
  <c r="N211" i="23"/>
  <c r="T210" i="23"/>
  <c r="X210" i="23" s="1"/>
  <c r="N210" i="23"/>
  <c r="V210" i="23" s="1"/>
  <c r="W210" i="23" s="1"/>
  <c r="T209" i="23"/>
  <c r="N209" i="23"/>
  <c r="O209" i="23" s="1"/>
  <c r="T208" i="23"/>
  <c r="X208" i="23" s="1"/>
  <c r="N208" i="23"/>
  <c r="V208" i="23" s="1"/>
  <c r="W208" i="23" s="1"/>
  <c r="U207" i="23"/>
  <c r="T207" i="23"/>
  <c r="X207" i="23" s="1"/>
  <c r="N207" i="23"/>
  <c r="T206" i="23"/>
  <c r="N206" i="23"/>
  <c r="O206" i="23" s="1"/>
  <c r="T205" i="23"/>
  <c r="O205" i="23"/>
  <c r="N205" i="23"/>
  <c r="S204" i="23"/>
  <c r="R204" i="23"/>
  <c r="Q204" i="23"/>
  <c r="P204" i="23"/>
  <c r="M204" i="23"/>
  <c r="L204" i="23"/>
  <c r="K204" i="23"/>
  <c r="J204" i="23"/>
  <c r="I204" i="23"/>
  <c r="T203" i="23"/>
  <c r="X203" i="23" s="1"/>
  <c r="Y203" i="23" s="1"/>
  <c r="N203" i="23"/>
  <c r="O203" i="23" s="1"/>
  <c r="V202" i="23"/>
  <c r="W202" i="23" s="1"/>
  <c r="T202" i="23"/>
  <c r="N202" i="23"/>
  <c r="O202" i="23" s="1"/>
  <c r="P201" i="23"/>
  <c r="P200" i="23" s="1"/>
  <c r="T200" i="23" s="1"/>
  <c r="N201" i="23"/>
  <c r="O201" i="23" s="1"/>
  <c r="N200" i="23"/>
  <c r="O200" i="23" s="1"/>
  <c r="T199" i="23"/>
  <c r="N199" i="23"/>
  <c r="O199" i="23" s="1"/>
  <c r="X198" i="23"/>
  <c r="Y198" i="23" s="1"/>
  <c r="V198" i="23"/>
  <c r="W198" i="23" s="1"/>
  <c r="T198" i="23"/>
  <c r="U198" i="23" s="1"/>
  <c r="N198" i="23"/>
  <c r="O198" i="23" s="1"/>
  <c r="T197" i="23"/>
  <c r="N197" i="23"/>
  <c r="O197" i="23" s="1"/>
  <c r="X196" i="23"/>
  <c r="Y196" i="23" s="1"/>
  <c r="T196" i="23"/>
  <c r="N196" i="23"/>
  <c r="O196" i="23" s="1"/>
  <c r="T195" i="23"/>
  <c r="N195" i="23"/>
  <c r="T194" i="23"/>
  <c r="N194" i="23"/>
  <c r="O194" i="23" s="1"/>
  <c r="S193" i="23"/>
  <c r="R193" i="23"/>
  <c r="Q193" i="23"/>
  <c r="P193" i="23"/>
  <c r="M193" i="23"/>
  <c r="L193" i="23"/>
  <c r="K193" i="23"/>
  <c r="J193" i="23"/>
  <c r="I193" i="23"/>
  <c r="T192" i="23"/>
  <c r="X192" i="23" s="1"/>
  <c r="Y192" i="23" s="1"/>
  <c r="O192" i="23"/>
  <c r="N192" i="23"/>
  <c r="T191" i="23"/>
  <c r="X191" i="23" s="1"/>
  <c r="Y191" i="23" s="1"/>
  <c r="N191" i="23"/>
  <c r="V191" i="23" s="1"/>
  <c r="W191" i="23" s="1"/>
  <c r="T190" i="23"/>
  <c r="X190" i="23" s="1"/>
  <c r="Y190" i="23" s="1"/>
  <c r="N190" i="23"/>
  <c r="V190" i="23" s="1"/>
  <c r="W190" i="23" s="1"/>
  <c r="T189" i="23"/>
  <c r="O189" i="23"/>
  <c r="N189" i="23"/>
  <c r="X188" i="23"/>
  <c r="Y188" i="23" s="1"/>
  <c r="T188" i="23"/>
  <c r="N188" i="23"/>
  <c r="X187" i="23"/>
  <c r="Y187" i="23" s="1"/>
  <c r="U187" i="23"/>
  <c r="T187" i="23"/>
  <c r="O187" i="23"/>
  <c r="N187" i="23"/>
  <c r="T186" i="23"/>
  <c r="X186" i="23" s="1"/>
  <c r="Y186" i="23" s="1"/>
  <c r="O186" i="23"/>
  <c r="N186" i="23"/>
  <c r="T185" i="23"/>
  <c r="X185" i="23" s="1"/>
  <c r="Y185" i="23" s="1"/>
  <c r="N185" i="23"/>
  <c r="V185" i="23" s="1"/>
  <c r="W185" i="23" s="1"/>
  <c r="X184" i="23"/>
  <c r="Y184" i="23" s="1"/>
  <c r="T184" i="23"/>
  <c r="N184" i="23"/>
  <c r="T183" i="23"/>
  <c r="O183" i="23"/>
  <c r="N183" i="23"/>
  <c r="S182" i="23"/>
  <c r="R182" i="23"/>
  <c r="Q182" i="23"/>
  <c r="P182" i="23"/>
  <c r="M182" i="23"/>
  <c r="L182" i="23"/>
  <c r="K182" i="23"/>
  <c r="J182" i="23"/>
  <c r="I182" i="23"/>
  <c r="T181" i="23"/>
  <c r="X181" i="23" s="1"/>
  <c r="Y181" i="23" s="1"/>
  <c r="N181" i="23"/>
  <c r="O181" i="23" s="1"/>
  <c r="V180" i="23"/>
  <c r="W180" i="23" s="1"/>
  <c r="T180" i="23"/>
  <c r="X180" i="23" s="1"/>
  <c r="Y180" i="23" s="1"/>
  <c r="N180" i="23"/>
  <c r="O180" i="23" s="1"/>
  <c r="T179" i="23"/>
  <c r="U179" i="23" s="1"/>
  <c r="N179" i="23"/>
  <c r="O179" i="23" s="1"/>
  <c r="X178" i="23"/>
  <c r="Y178" i="23" s="1"/>
  <c r="V178" i="23"/>
  <c r="W178" i="23" s="1"/>
  <c r="T178" i="23"/>
  <c r="N178" i="23"/>
  <c r="O178" i="23" s="1"/>
  <c r="T177" i="23"/>
  <c r="N177" i="23"/>
  <c r="O177" i="23" s="1"/>
  <c r="T176" i="23"/>
  <c r="N176" i="23"/>
  <c r="T175" i="23"/>
  <c r="N175" i="23"/>
  <c r="O175" i="23" s="1"/>
  <c r="T174" i="23"/>
  <c r="X174" i="23" s="1"/>
  <c r="Y174" i="23" s="1"/>
  <c r="N174" i="23"/>
  <c r="T173" i="23"/>
  <c r="X173" i="23" s="1"/>
  <c r="Y173" i="23" s="1"/>
  <c r="N173" i="23"/>
  <c r="O173" i="23" s="1"/>
  <c r="S172" i="23"/>
  <c r="R172" i="23"/>
  <c r="Q172" i="23"/>
  <c r="P172" i="23"/>
  <c r="M172" i="23"/>
  <c r="L172" i="23"/>
  <c r="K172" i="23"/>
  <c r="J172" i="23"/>
  <c r="I172" i="23"/>
  <c r="I145" i="23" s="1"/>
  <c r="Y171" i="23"/>
  <c r="T171" i="23"/>
  <c r="X171" i="23" s="1"/>
  <c r="N171" i="23"/>
  <c r="P170" i="23"/>
  <c r="T170" i="23" s="1"/>
  <c r="O170" i="23"/>
  <c r="N170" i="23"/>
  <c r="S169" i="23"/>
  <c r="R169" i="23"/>
  <c r="Q169" i="23"/>
  <c r="M169" i="23"/>
  <c r="L169" i="23"/>
  <c r="K169" i="23"/>
  <c r="J169" i="23"/>
  <c r="I169" i="23"/>
  <c r="T168" i="23"/>
  <c r="N168" i="23"/>
  <c r="O168" i="23" s="1"/>
  <c r="T167" i="23"/>
  <c r="U167" i="23" s="1"/>
  <c r="O167" i="23"/>
  <c r="N167" i="23"/>
  <c r="T166" i="23"/>
  <c r="N166" i="23"/>
  <c r="O166" i="23" s="1"/>
  <c r="T165" i="23"/>
  <c r="V165" i="23" s="1"/>
  <c r="W165" i="23" s="1"/>
  <c r="O165" i="23"/>
  <c r="N165" i="23"/>
  <c r="V164" i="23"/>
  <c r="W164" i="23" s="1"/>
  <c r="T164" i="23"/>
  <c r="X164" i="23" s="1"/>
  <c r="Y164" i="23" s="1"/>
  <c r="N164" i="23"/>
  <c r="U164" i="23" s="1"/>
  <c r="T163" i="23"/>
  <c r="N163" i="23"/>
  <c r="Y162" i="23"/>
  <c r="T162" i="23"/>
  <c r="X162" i="23" s="1"/>
  <c r="N162" i="23"/>
  <c r="U162" i="23" s="1"/>
  <c r="T161" i="23"/>
  <c r="N161" i="23"/>
  <c r="O161" i="23" s="1"/>
  <c r="V160" i="23"/>
  <c r="W160" i="23" s="1"/>
  <c r="T160" i="23"/>
  <c r="X160" i="23" s="1"/>
  <c r="Y160" i="23" s="1"/>
  <c r="O160" i="23"/>
  <c r="N160" i="23"/>
  <c r="T159" i="23"/>
  <c r="O159" i="23"/>
  <c r="N159" i="23"/>
  <c r="S158" i="23"/>
  <c r="R158" i="23"/>
  <c r="Q158" i="23"/>
  <c r="P158" i="23"/>
  <c r="M158" i="23"/>
  <c r="M145" i="23" s="1"/>
  <c r="L158" i="23"/>
  <c r="K158" i="23"/>
  <c r="J158" i="23"/>
  <c r="I158" i="23"/>
  <c r="T157" i="23"/>
  <c r="O157" i="23"/>
  <c r="N157" i="23"/>
  <c r="T156" i="23"/>
  <c r="X156" i="23" s="1"/>
  <c r="Y156" i="23" s="1"/>
  <c r="N156" i="23"/>
  <c r="V156" i="23" s="1"/>
  <c r="W156" i="23" s="1"/>
  <c r="T155" i="23"/>
  <c r="N155" i="23"/>
  <c r="Y154" i="23"/>
  <c r="T154" i="23"/>
  <c r="X154" i="23" s="1"/>
  <c r="N154" i="23"/>
  <c r="T153" i="23"/>
  <c r="X153" i="23" s="1"/>
  <c r="Y153" i="23" s="1"/>
  <c r="O153" i="23"/>
  <c r="N153" i="23"/>
  <c r="V152" i="23"/>
  <c r="W152" i="23" s="1"/>
  <c r="T152" i="23"/>
  <c r="X152" i="23" s="1"/>
  <c r="Y152" i="23" s="1"/>
  <c r="N152" i="23"/>
  <c r="O152" i="23" s="1"/>
  <c r="T151" i="23"/>
  <c r="X151" i="23" s="1"/>
  <c r="Y151" i="23" s="1"/>
  <c r="N151" i="23"/>
  <c r="V151" i="23" s="1"/>
  <c r="W151" i="23" s="1"/>
  <c r="T150" i="23"/>
  <c r="X150" i="23" s="1"/>
  <c r="Y150" i="23" s="1"/>
  <c r="N150" i="23"/>
  <c r="U150" i="23" s="1"/>
  <c r="Y149" i="23"/>
  <c r="V149" i="23"/>
  <c r="W149" i="23" s="1"/>
  <c r="T149" i="23"/>
  <c r="X149" i="23" s="1"/>
  <c r="N149" i="23"/>
  <c r="T148" i="23"/>
  <c r="O148" i="23"/>
  <c r="N148" i="23"/>
  <c r="T147" i="23"/>
  <c r="O147" i="23"/>
  <c r="N147" i="23"/>
  <c r="S146" i="23"/>
  <c r="R146" i="23"/>
  <c r="Q146" i="23"/>
  <c r="P146" i="23"/>
  <c r="M146" i="23"/>
  <c r="L146" i="23"/>
  <c r="K146" i="23"/>
  <c r="J146" i="23"/>
  <c r="I146" i="23"/>
  <c r="T144" i="23"/>
  <c r="X144" i="23" s="1"/>
  <c r="Y144" i="23" s="1"/>
  <c r="N144" i="23"/>
  <c r="T143" i="23"/>
  <c r="X143" i="23" s="1"/>
  <c r="Y143" i="23" s="1"/>
  <c r="N143" i="23"/>
  <c r="X142" i="23"/>
  <c r="Y142" i="23" s="1"/>
  <c r="T142" i="23"/>
  <c r="N142" i="23"/>
  <c r="T141" i="23"/>
  <c r="X141" i="23" s="1"/>
  <c r="Y141" i="23" s="1"/>
  <c r="N141" i="23"/>
  <c r="X140" i="23"/>
  <c r="Y140" i="23" s="1"/>
  <c r="V140" i="23"/>
  <c r="W140" i="23" s="1"/>
  <c r="T140" i="23"/>
  <c r="N140" i="23"/>
  <c r="O140" i="23" s="1"/>
  <c r="T139" i="23"/>
  <c r="X139" i="23" s="1"/>
  <c r="Y139" i="23" s="1"/>
  <c r="N139" i="23"/>
  <c r="T138" i="23"/>
  <c r="X138" i="23" s="1"/>
  <c r="Y138" i="23" s="1"/>
  <c r="N138" i="23"/>
  <c r="O138" i="23" s="1"/>
  <c r="T137" i="23"/>
  <c r="X137" i="23" s="1"/>
  <c r="Y137" i="23" s="1"/>
  <c r="N137" i="23"/>
  <c r="X136" i="23"/>
  <c r="Y136" i="23" s="1"/>
  <c r="V136" i="23"/>
  <c r="W136" i="23" s="1"/>
  <c r="T136" i="23"/>
  <c r="N136" i="23"/>
  <c r="O136" i="23" s="1"/>
  <c r="S135" i="23"/>
  <c r="S122" i="23" s="1"/>
  <c r="R135" i="23"/>
  <c r="Q135" i="23"/>
  <c r="P135" i="23"/>
  <c r="M135" i="23"/>
  <c r="L135" i="23"/>
  <c r="K135" i="23"/>
  <c r="J135" i="23"/>
  <c r="I135" i="23"/>
  <c r="Q134" i="23"/>
  <c r="N134" i="23"/>
  <c r="T133" i="23"/>
  <c r="N133" i="23"/>
  <c r="V132" i="23"/>
  <c r="W132" i="23" s="1"/>
  <c r="T132" i="23"/>
  <c r="N132" i="23"/>
  <c r="O132" i="23" s="1"/>
  <c r="T131" i="23"/>
  <c r="N131" i="23"/>
  <c r="O131" i="23" s="1"/>
  <c r="T130" i="23"/>
  <c r="X130" i="23" s="1"/>
  <c r="Y130" i="23" s="1"/>
  <c r="N130" i="23"/>
  <c r="O130" i="23" s="1"/>
  <c r="T129" i="23"/>
  <c r="N129" i="23"/>
  <c r="O129" i="23" s="1"/>
  <c r="T128" i="23"/>
  <c r="N128" i="23"/>
  <c r="O128" i="23" s="1"/>
  <c r="T127" i="23"/>
  <c r="N127" i="23"/>
  <c r="X126" i="23"/>
  <c r="Y126" i="23" s="1"/>
  <c r="V126" i="23"/>
  <c r="W126" i="23" s="1"/>
  <c r="T126" i="23"/>
  <c r="N126" i="23"/>
  <c r="O126" i="23" s="1"/>
  <c r="T125" i="23"/>
  <c r="N125" i="23"/>
  <c r="O125" i="23" s="1"/>
  <c r="T124" i="23"/>
  <c r="X124" i="23" s="1"/>
  <c r="Y124" i="23" s="1"/>
  <c r="N124" i="23"/>
  <c r="S123" i="23"/>
  <c r="R123" i="23"/>
  <c r="P123" i="23"/>
  <c r="M123" i="23"/>
  <c r="L123" i="23"/>
  <c r="K123" i="23"/>
  <c r="J123" i="23"/>
  <c r="I123" i="23"/>
  <c r="I122" i="23" s="1"/>
  <c r="K122" i="23"/>
  <c r="Q120" i="23"/>
  <c r="N120" i="23"/>
  <c r="O120" i="23" s="1"/>
  <c r="S119" i="23"/>
  <c r="R119" i="23"/>
  <c r="P119" i="23"/>
  <c r="N119" i="23"/>
  <c r="M119" i="23"/>
  <c r="L119" i="23"/>
  <c r="K119" i="23"/>
  <c r="J119" i="23"/>
  <c r="I119" i="23"/>
  <c r="Q118" i="23"/>
  <c r="Q114" i="23" s="1"/>
  <c r="N118" i="23"/>
  <c r="T117" i="23"/>
  <c r="N117" i="23"/>
  <c r="O117" i="23" s="1"/>
  <c r="T116" i="23"/>
  <c r="X116" i="23" s="1"/>
  <c r="Y116" i="23" s="1"/>
  <c r="N116" i="23"/>
  <c r="O116" i="23" s="1"/>
  <c r="T115" i="23"/>
  <c r="N115" i="23"/>
  <c r="O115" i="23" s="1"/>
  <c r="S114" i="23"/>
  <c r="S110" i="23" s="1"/>
  <c r="R114" i="23"/>
  <c r="P114" i="23"/>
  <c r="M114" i="23"/>
  <c r="L114" i="23"/>
  <c r="L110" i="23" s="1"/>
  <c r="K114" i="23"/>
  <c r="J114" i="23"/>
  <c r="I114" i="23"/>
  <c r="Y113" i="23"/>
  <c r="Q113" i="23"/>
  <c r="P113" i="23"/>
  <c r="T113" i="23" s="1"/>
  <c r="X113" i="23" s="1"/>
  <c r="N113" i="23"/>
  <c r="O113" i="23" s="1"/>
  <c r="Q112" i="23"/>
  <c r="P112" i="23"/>
  <c r="N112" i="23"/>
  <c r="S111" i="23"/>
  <c r="R111" i="23"/>
  <c r="Q111" i="23"/>
  <c r="M111" i="23"/>
  <c r="M110" i="23" s="1"/>
  <c r="L111" i="23"/>
  <c r="K111" i="23"/>
  <c r="J111" i="23"/>
  <c r="J110" i="23" s="1"/>
  <c r="I111" i="23"/>
  <c r="T109" i="23"/>
  <c r="X109" i="23" s="1"/>
  <c r="Y109" i="23" s="1"/>
  <c r="Q109" i="23"/>
  <c r="P109" i="23"/>
  <c r="O109" i="23"/>
  <c r="N109" i="23"/>
  <c r="V109" i="23" s="1"/>
  <c r="W109" i="23" s="1"/>
  <c r="Q108" i="23"/>
  <c r="N108" i="23"/>
  <c r="S107" i="23"/>
  <c r="R107" i="23"/>
  <c r="P107" i="23"/>
  <c r="M107" i="23"/>
  <c r="L107" i="23"/>
  <c r="K107" i="23"/>
  <c r="J107" i="23"/>
  <c r="I107" i="23"/>
  <c r="X106" i="23"/>
  <c r="Y106" i="23" s="1"/>
  <c r="Q106" i="23"/>
  <c r="T106" i="23" s="1"/>
  <c r="P106" i="23"/>
  <c r="N106" i="23"/>
  <c r="Q105" i="23"/>
  <c r="P105" i="23"/>
  <c r="N105" i="23"/>
  <c r="O105" i="23" s="1"/>
  <c r="Q104" i="23"/>
  <c r="T104" i="23" s="1"/>
  <c r="P104" i="23"/>
  <c r="N104" i="23"/>
  <c r="U104" i="23" s="1"/>
  <c r="S103" i="23"/>
  <c r="R103" i="23"/>
  <c r="M103" i="23"/>
  <c r="L103" i="23"/>
  <c r="K103" i="23"/>
  <c r="J103" i="23"/>
  <c r="I103" i="23"/>
  <c r="V102" i="23"/>
  <c r="W102" i="23" s="1"/>
  <c r="T102" i="23"/>
  <c r="N102" i="23"/>
  <c r="O102" i="23" s="1"/>
  <c r="T101" i="23"/>
  <c r="N101" i="23"/>
  <c r="Q100" i="23"/>
  <c r="T100" i="23" s="1"/>
  <c r="N100" i="23"/>
  <c r="X99" i="23"/>
  <c r="Y99" i="23" s="1"/>
  <c r="T99" i="23"/>
  <c r="U99" i="23" s="1"/>
  <c r="O99" i="23"/>
  <c r="N99" i="23"/>
  <c r="T98" i="23"/>
  <c r="O98" i="23"/>
  <c r="N98" i="23"/>
  <c r="S97" i="23"/>
  <c r="R97" i="23"/>
  <c r="R96" i="23" s="1"/>
  <c r="Q97" i="23"/>
  <c r="P97" i="23"/>
  <c r="M97" i="23"/>
  <c r="M96" i="23" s="1"/>
  <c r="L97" i="23"/>
  <c r="K97" i="23"/>
  <c r="K96" i="23" s="1"/>
  <c r="J97" i="23"/>
  <c r="I97" i="23"/>
  <c r="Q95" i="23"/>
  <c r="T95" i="23" s="1"/>
  <c r="X95" i="23" s="1"/>
  <c r="Y95" i="23" s="1"/>
  <c r="N95" i="23"/>
  <c r="V95" i="23" s="1"/>
  <c r="W95" i="23" s="1"/>
  <c r="Q94" i="23"/>
  <c r="T94" i="23" s="1"/>
  <c r="N94" i="23"/>
  <c r="S93" i="23"/>
  <c r="R93" i="23"/>
  <c r="P93" i="23"/>
  <c r="M93" i="23"/>
  <c r="L93" i="23"/>
  <c r="K93" i="23"/>
  <c r="J93" i="23"/>
  <c r="I93" i="23"/>
  <c r="T92" i="23"/>
  <c r="X92" i="23" s="1"/>
  <c r="Y92" i="23" s="1"/>
  <c r="N92" i="23"/>
  <c r="T91" i="23"/>
  <c r="S91" i="23"/>
  <c r="R91" i="23"/>
  <c r="Q91" i="23"/>
  <c r="P91" i="23"/>
  <c r="M91" i="23"/>
  <c r="L91" i="23"/>
  <c r="K91" i="23"/>
  <c r="J91" i="23"/>
  <c r="I91" i="23"/>
  <c r="X91" i="23" s="1"/>
  <c r="Y91" i="23" s="1"/>
  <c r="T90" i="23"/>
  <c r="X90" i="23" s="1"/>
  <c r="Y90" i="23" s="1"/>
  <c r="N90" i="23"/>
  <c r="T89" i="23"/>
  <c r="N89" i="23"/>
  <c r="V89" i="23" s="1"/>
  <c r="W89" i="23" s="1"/>
  <c r="S88" i="23"/>
  <c r="R88" i="23"/>
  <c r="Q88" i="23"/>
  <c r="P88" i="23"/>
  <c r="M88" i="23"/>
  <c r="L88" i="23"/>
  <c r="K88" i="23"/>
  <c r="J88" i="23"/>
  <c r="I88" i="23"/>
  <c r="T87" i="23"/>
  <c r="X87" i="23" s="1"/>
  <c r="Y87" i="23" s="1"/>
  <c r="Q87" i="23"/>
  <c r="Q85" i="23" s="1"/>
  <c r="N87" i="23"/>
  <c r="T86" i="23"/>
  <c r="U86" i="23" s="1"/>
  <c r="O86" i="23"/>
  <c r="N86" i="23"/>
  <c r="T85" i="23"/>
  <c r="X85" i="23" s="1"/>
  <c r="Y85" i="23" s="1"/>
  <c r="S85" i="23"/>
  <c r="R85" i="23"/>
  <c r="P85" i="23"/>
  <c r="M85" i="23"/>
  <c r="L85" i="23"/>
  <c r="K85" i="23"/>
  <c r="J85" i="23"/>
  <c r="I85" i="23"/>
  <c r="I84" i="23" s="1"/>
  <c r="M84" i="23"/>
  <c r="Q83" i="23"/>
  <c r="T83" i="23" s="1"/>
  <c r="P83" i="23"/>
  <c r="N83" i="23"/>
  <c r="T82" i="23"/>
  <c r="T81" i="23" s="1"/>
  <c r="Q82" i="23"/>
  <c r="P82" i="23"/>
  <c r="N82" i="23"/>
  <c r="S81" i="23"/>
  <c r="R81" i="23"/>
  <c r="Q81" i="23"/>
  <c r="P81" i="23"/>
  <c r="M81" i="23"/>
  <c r="L81" i="23"/>
  <c r="K81" i="23"/>
  <c r="J81" i="23"/>
  <c r="I81" i="23"/>
  <c r="Q80" i="23"/>
  <c r="P80" i="23"/>
  <c r="P79" i="23" s="1"/>
  <c r="O80" i="23"/>
  <c r="N80" i="23"/>
  <c r="N79" i="23" s="1"/>
  <c r="S79" i="23"/>
  <c r="R79" i="23"/>
  <c r="Q79" i="23"/>
  <c r="M79" i="23"/>
  <c r="L79" i="23"/>
  <c r="K79" i="23"/>
  <c r="J79" i="23"/>
  <c r="I79" i="23"/>
  <c r="Q78" i="23"/>
  <c r="P78" i="23"/>
  <c r="N78" i="23"/>
  <c r="O78" i="23" s="1"/>
  <c r="S77" i="23"/>
  <c r="R77" i="23"/>
  <c r="Q77" i="23"/>
  <c r="M77" i="23"/>
  <c r="L77" i="23"/>
  <c r="K77" i="23"/>
  <c r="J77" i="23"/>
  <c r="I77" i="23"/>
  <c r="X76" i="23"/>
  <c r="Y76" i="23" s="1"/>
  <c r="Q76" i="23"/>
  <c r="T76" i="23" s="1"/>
  <c r="T75" i="23" s="1"/>
  <c r="N76" i="23"/>
  <c r="S75" i="23"/>
  <c r="R75" i="23"/>
  <c r="Q75" i="23"/>
  <c r="P75" i="23"/>
  <c r="M75" i="23"/>
  <c r="L75" i="23"/>
  <c r="K75" i="23"/>
  <c r="J75" i="23"/>
  <c r="I75" i="23"/>
  <c r="Q74" i="23"/>
  <c r="T74" i="23" s="1"/>
  <c r="N74" i="23"/>
  <c r="V74" i="23" s="1"/>
  <c r="W74" i="23" s="1"/>
  <c r="Q73" i="23"/>
  <c r="P73" i="23"/>
  <c r="N73" i="23"/>
  <c r="S72" i="23"/>
  <c r="R72" i="23"/>
  <c r="P72" i="23"/>
  <c r="M72" i="23"/>
  <c r="L72" i="23"/>
  <c r="L69" i="23" s="1"/>
  <c r="K72" i="23"/>
  <c r="J72" i="23"/>
  <c r="I72" i="23"/>
  <c r="T71" i="23"/>
  <c r="X71" i="23" s="1"/>
  <c r="Y71" i="23" s="1"/>
  <c r="N71" i="23"/>
  <c r="S70" i="23"/>
  <c r="R70" i="23"/>
  <c r="Q70" i="23"/>
  <c r="P70" i="23"/>
  <c r="M70" i="23"/>
  <c r="L70" i="23"/>
  <c r="K70" i="23"/>
  <c r="J70" i="23"/>
  <c r="I70" i="23"/>
  <c r="X68" i="23"/>
  <c r="Y68" i="23" s="1"/>
  <c r="U68" i="23"/>
  <c r="Q68" i="23"/>
  <c r="T68" i="23" s="1"/>
  <c r="N68" i="23"/>
  <c r="T67" i="23"/>
  <c r="N67" i="23"/>
  <c r="O67" i="23" s="1"/>
  <c r="S66" i="23"/>
  <c r="S65" i="23" s="1"/>
  <c r="R66" i="23"/>
  <c r="R65" i="23" s="1"/>
  <c r="Q66" i="23"/>
  <c r="Q65" i="23" s="1"/>
  <c r="P66" i="23"/>
  <c r="P65" i="23" s="1"/>
  <c r="M66" i="23"/>
  <c r="L66" i="23"/>
  <c r="L65" i="23" s="1"/>
  <c r="K66" i="23"/>
  <c r="K65" i="23" s="1"/>
  <c r="J66" i="23"/>
  <c r="J65" i="23" s="1"/>
  <c r="I66" i="23"/>
  <c r="M65" i="23"/>
  <c r="V64" i="23"/>
  <c r="W64" i="23" s="1"/>
  <c r="U64" i="23"/>
  <c r="T64" i="23"/>
  <c r="X64" i="23" s="1"/>
  <c r="Y64" i="23" s="1"/>
  <c r="N64" i="23"/>
  <c r="O64" i="23" s="1"/>
  <c r="Q63" i="23"/>
  <c r="T63" i="23" s="1"/>
  <c r="V63" i="23" s="1"/>
  <c r="W63" i="23" s="1"/>
  <c r="O63" i="23"/>
  <c r="N63" i="23"/>
  <c r="V62" i="23"/>
  <c r="W62" i="23" s="1"/>
  <c r="U62" i="23"/>
  <c r="T62" i="23"/>
  <c r="X62" i="23" s="1"/>
  <c r="Y62" i="23" s="1"/>
  <c r="N62" i="23"/>
  <c r="O62" i="23" s="1"/>
  <c r="T61" i="23"/>
  <c r="X61" i="23" s="1"/>
  <c r="Y61" i="23" s="1"/>
  <c r="Q61" i="23"/>
  <c r="N61" i="23"/>
  <c r="O61" i="23" s="1"/>
  <c r="Q60" i="23"/>
  <c r="T60" i="23" s="1"/>
  <c r="V60" i="23" s="1"/>
  <c r="W60" i="23" s="1"/>
  <c r="O60" i="23"/>
  <c r="N60" i="23"/>
  <c r="V59" i="23"/>
  <c r="W59" i="23" s="1"/>
  <c r="U59" i="23"/>
  <c r="Q59" i="23"/>
  <c r="T59" i="23" s="1"/>
  <c r="X59" i="23" s="1"/>
  <c r="Y59" i="23" s="1"/>
  <c r="N59" i="23"/>
  <c r="O59" i="23" s="1"/>
  <c r="S58" i="23"/>
  <c r="R58" i="23"/>
  <c r="P58" i="23"/>
  <c r="P57" i="23" s="1"/>
  <c r="M58" i="23"/>
  <c r="L58" i="23"/>
  <c r="L57" i="23" s="1"/>
  <c r="K58" i="23"/>
  <c r="J58" i="23"/>
  <c r="J57" i="23" s="1"/>
  <c r="I58" i="23"/>
  <c r="I57" i="23" s="1"/>
  <c r="S57" i="23"/>
  <c r="R57" i="23"/>
  <c r="M57" i="23"/>
  <c r="K57" i="23"/>
  <c r="T56" i="23"/>
  <c r="X56" i="23" s="1"/>
  <c r="Y56" i="23" s="1"/>
  <c r="Q56" i="23"/>
  <c r="P56" i="23"/>
  <c r="N56" i="23"/>
  <c r="O56" i="23" s="1"/>
  <c r="T55" i="23"/>
  <c r="X55" i="23" s="1"/>
  <c r="Y55" i="23" s="1"/>
  <c r="N55" i="23"/>
  <c r="O55" i="23" s="1"/>
  <c r="Q54" i="23"/>
  <c r="T54" i="23" s="1"/>
  <c r="O54" i="23"/>
  <c r="N54" i="23"/>
  <c r="Q53" i="23"/>
  <c r="T53" i="23" s="1"/>
  <c r="X53" i="23" s="1"/>
  <c r="Y53" i="23" s="1"/>
  <c r="N53" i="23"/>
  <c r="O53" i="23" s="1"/>
  <c r="Q52" i="23"/>
  <c r="T52" i="23" s="1"/>
  <c r="X52" i="23" s="1"/>
  <c r="Y52" i="23" s="1"/>
  <c r="O52" i="23"/>
  <c r="N52" i="23"/>
  <c r="Q51" i="23"/>
  <c r="T51" i="23" s="1"/>
  <c r="N51" i="23"/>
  <c r="O51" i="23" s="1"/>
  <c r="Q50" i="23"/>
  <c r="T50" i="23" s="1"/>
  <c r="X50" i="23" s="1"/>
  <c r="Y50" i="23" s="1"/>
  <c r="N50" i="23"/>
  <c r="O50" i="23" s="1"/>
  <c r="S49" i="23"/>
  <c r="S37" i="23" s="1"/>
  <c r="R49" i="23"/>
  <c r="P49" i="23"/>
  <c r="M49" i="23"/>
  <c r="L49" i="23"/>
  <c r="K49" i="23"/>
  <c r="J49" i="23"/>
  <c r="I49" i="23"/>
  <c r="U48" i="23"/>
  <c r="T48" i="23"/>
  <c r="X48" i="23" s="1"/>
  <c r="Y48" i="23" s="1"/>
  <c r="N48" i="23"/>
  <c r="X47" i="23"/>
  <c r="Y47" i="23" s="1"/>
  <c r="Q47" i="23"/>
  <c r="T47" i="23" s="1"/>
  <c r="N47" i="23"/>
  <c r="Q46" i="23"/>
  <c r="P46" i="23"/>
  <c r="T46" i="23" s="1"/>
  <c r="X46" i="23" s="1"/>
  <c r="Y46" i="23" s="1"/>
  <c r="N46" i="23"/>
  <c r="Q45" i="23"/>
  <c r="P45" i="23"/>
  <c r="T45" i="23" s="1"/>
  <c r="X45" i="23" s="1"/>
  <c r="Y45" i="23" s="1"/>
  <c r="N45" i="23"/>
  <c r="Q44" i="23"/>
  <c r="P44" i="23"/>
  <c r="T44" i="23" s="1"/>
  <c r="X44" i="23" s="1"/>
  <c r="Y44" i="23" s="1"/>
  <c r="N44" i="23"/>
  <c r="O44" i="23" s="1"/>
  <c r="Q43" i="23"/>
  <c r="P43" i="23"/>
  <c r="T43" i="23" s="1"/>
  <c r="N43" i="23"/>
  <c r="O43" i="23" s="1"/>
  <c r="T42" i="23"/>
  <c r="N42" i="23"/>
  <c r="V42" i="23" s="1"/>
  <c r="W42" i="23" s="1"/>
  <c r="Q41" i="23"/>
  <c r="P41" i="23"/>
  <c r="N41" i="23"/>
  <c r="Q40" i="23"/>
  <c r="P40" i="23"/>
  <c r="T40" i="23" s="1"/>
  <c r="N40" i="23"/>
  <c r="O40" i="23" s="1"/>
  <c r="Q39" i="23"/>
  <c r="P39" i="23"/>
  <c r="N39" i="23"/>
  <c r="S38" i="23"/>
  <c r="R38" i="23"/>
  <c r="M38" i="23"/>
  <c r="L38" i="23"/>
  <c r="L37" i="23" s="1"/>
  <c r="K38" i="23"/>
  <c r="K37" i="23" s="1"/>
  <c r="J38" i="23"/>
  <c r="J37" i="23" s="1"/>
  <c r="I38" i="23"/>
  <c r="I37" i="23" s="1"/>
  <c r="T36" i="23"/>
  <c r="Q36" i="23"/>
  <c r="N36" i="23"/>
  <c r="O36" i="23" s="1"/>
  <c r="T35" i="23"/>
  <c r="X35" i="23" s="1"/>
  <c r="Y35" i="23" s="1"/>
  <c r="N35" i="23"/>
  <c r="O35" i="23" s="1"/>
  <c r="T34" i="23"/>
  <c r="X34" i="23" s="1"/>
  <c r="Y34" i="23" s="1"/>
  <c r="N34" i="23"/>
  <c r="Q33" i="23"/>
  <c r="N33" i="23"/>
  <c r="T32" i="23"/>
  <c r="N32" i="23"/>
  <c r="V32" i="23" s="1"/>
  <c r="W32" i="23" s="1"/>
  <c r="V31" i="23"/>
  <c r="W31" i="23" s="1"/>
  <c r="U31" i="23"/>
  <c r="T31" i="23"/>
  <c r="X31" i="23" s="1"/>
  <c r="Y31" i="23" s="1"/>
  <c r="N31" i="23"/>
  <c r="O31" i="23" s="1"/>
  <c r="S30" i="23"/>
  <c r="R30" i="23"/>
  <c r="P30" i="23"/>
  <c r="M30" i="23"/>
  <c r="L30" i="23"/>
  <c r="K30" i="23"/>
  <c r="J30" i="23"/>
  <c r="I30" i="23"/>
  <c r="T29" i="23"/>
  <c r="X29" i="23" s="1"/>
  <c r="Y29" i="23" s="1"/>
  <c r="N29" i="23"/>
  <c r="O29" i="23" s="1"/>
  <c r="Q28" i="23"/>
  <c r="Q25" i="23" s="1"/>
  <c r="N28" i="23"/>
  <c r="X27" i="23"/>
  <c r="Y27" i="23" s="1"/>
  <c r="T27" i="23"/>
  <c r="V27" i="23" s="1"/>
  <c r="W27" i="23" s="1"/>
  <c r="N27" i="23"/>
  <c r="O27" i="23" s="1"/>
  <c r="T26" i="23"/>
  <c r="X26" i="23" s="1"/>
  <c r="Y26" i="23" s="1"/>
  <c r="N26" i="23"/>
  <c r="O26" i="23" s="1"/>
  <c r="S25" i="23"/>
  <c r="R25" i="23"/>
  <c r="P25" i="23"/>
  <c r="M25" i="23"/>
  <c r="L25" i="23"/>
  <c r="K25" i="23"/>
  <c r="J25" i="23"/>
  <c r="I25" i="23"/>
  <c r="T24" i="23"/>
  <c r="U24" i="23" s="1"/>
  <c r="O24" i="23"/>
  <c r="N24" i="23"/>
  <c r="X23" i="23"/>
  <c r="Y23" i="23" s="1"/>
  <c r="T23" i="23"/>
  <c r="N23" i="23"/>
  <c r="X22" i="23"/>
  <c r="Y22" i="23" s="1"/>
  <c r="V22" i="23"/>
  <c r="W22" i="23" s="1"/>
  <c r="T22" i="23"/>
  <c r="U22" i="23" s="1"/>
  <c r="O22" i="23"/>
  <c r="N22" i="23"/>
  <c r="T21" i="23"/>
  <c r="O21" i="23"/>
  <c r="N21" i="23"/>
  <c r="T20" i="23"/>
  <c r="N20" i="23"/>
  <c r="V20" i="23" s="1"/>
  <c r="W20" i="23" s="1"/>
  <c r="S19" i="23"/>
  <c r="R19" i="23"/>
  <c r="Q19" i="23"/>
  <c r="P19" i="23"/>
  <c r="P10" i="23" s="1"/>
  <c r="M19" i="23"/>
  <c r="M10" i="23" s="1"/>
  <c r="L19" i="23"/>
  <c r="K19" i="23"/>
  <c r="J19" i="23"/>
  <c r="I19" i="23"/>
  <c r="T18" i="23"/>
  <c r="N18" i="23"/>
  <c r="O18" i="23" s="1"/>
  <c r="Q17" i="23"/>
  <c r="T17" i="23" s="1"/>
  <c r="X17" i="23" s="1"/>
  <c r="Y17" i="23" s="1"/>
  <c r="N17" i="23"/>
  <c r="N11" i="23" s="1"/>
  <c r="Y16" i="23"/>
  <c r="X16" i="23"/>
  <c r="T16" i="23"/>
  <c r="N16" i="23"/>
  <c r="T15" i="23"/>
  <c r="N15" i="23"/>
  <c r="V15" i="23" s="1"/>
  <c r="W15" i="23" s="1"/>
  <c r="X14" i="23"/>
  <c r="Y14" i="23" s="1"/>
  <c r="T14" i="23"/>
  <c r="N14" i="23"/>
  <c r="V14" i="23" s="1"/>
  <c r="W14" i="23" s="1"/>
  <c r="T13" i="23"/>
  <c r="O13" i="23"/>
  <c r="N13" i="23"/>
  <c r="Q12" i="23"/>
  <c r="T12" i="23" s="1"/>
  <c r="X12" i="23" s="1"/>
  <c r="Y12" i="23" s="1"/>
  <c r="N12" i="23"/>
  <c r="V12" i="23" s="1"/>
  <c r="W12" i="23" s="1"/>
  <c r="S11" i="23"/>
  <c r="R11" i="23"/>
  <c r="P11" i="23"/>
  <c r="M11" i="23"/>
  <c r="L11" i="23"/>
  <c r="K11" i="23"/>
  <c r="J11" i="23"/>
  <c r="I11" i="23"/>
  <c r="I10" i="23" s="1"/>
  <c r="S10" i="23"/>
  <c r="R10" i="23"/>
  <c r="J10" i="23"/>
  <c r="X148" i="23" l="1"/>
  <c r="Y148" i="23" s="1"/>
  <c r="V148" i="23"/>
  <c r="W148" i="23" s="1"/>
  <c r="U192" i="23"/>
  <c r="V52" i="23"/>
  <c r="W52" i="23" s="1"/>
  <c r="O151" i="23"/>
  <c r="X159" i="23"/>
  <c r="Y159" i="23" s="1"/>
  <c r="U159" i="23"/>
  <c r="V159" i="23"/>
  <c r="W159" i="23" s="1"/>
  <c r="O23" i="23"/>
  <c r="V23" i="23"/>
  <c r="W23" i="23" s="1"/>
  <c r="U23" i="23"/>
  <c r="U154" i="23"/>
  <c r="V154" i="23"/>
  <c r="W154" i="23" s="1"/>
  <c r="U183" i="23"/>
  <c r="X183" i="23"/>
  <c r="Y183" i="23" s="1"/>
  <c r="T182" i="23"/>
  <c r="X182" i="23" s="1"/>
  <c r="Y182" i="23" s="1"/>
  <c r="X21" i="23"/>
  <c r="Y21" i="23" s="1"/>
  <c r="V21" i="23"/>
  <c r="W21" i="23" s="1"/>
  <c r="Q38" i="23"/>
  <c r="X51" i="23"/>
  <c r="Y51" i="23" s="1"/>
  <c r="V51" i="23"/>
  <c r="W51" i="23" s="1"/>
  <c r="O154" i="23"/>
  <c r="O191" i="23"/>
  <c r="V218" i="23"/>
  <c r="W218" i="23" s="1"/>
  <c r="O236" i="23"/>
  <c r="V236" i="23"/>
  <c r="W236" i="23" s="1"/>
  <c r="T11" i="23"/>
  <c r="X13" i="23"/>
  <c r="Y13" i="23" s="1"/>
  <c r="U21" i="23"/>
  <c r="U51" i="23"/>
  <c r="X147" i="23"/>
  <c r="Y147" i="23" s="1"/>
  <c r="T146" i="23"/>
  <c r="X146" i="23" s="1"/>
  <c r="Y146" i="23" s="1"/>
  <c r="V147" i="23"/>
  <c r="W147" i="23" s="1"/>
  <c r="U147" i="23"/>
  <c r="O163" i="23"/>
  <c r="N158" i="23"/>
  <c r="O158" i="23" s="1"/>
  <c r="V163" i="23"/>
  <c r="W163" i="23" s="1"/>
  <c r="U186" i="23"/>
  <c r="U194" i="23"/>
  <c r="T193" i="23"/>
  <c r="X193" i="23" s="1"/>
  <c r="Y193" i="23" s="1"/>
  <c r="X194" i="23"/>
  <c r="Y194" i="23" s="1"/>
  <c r="U236" i="23"/>
  <c r="X236" i="23"/>
  <c r="V254" i="23"/>
  <c r="W254" i="23" s="1"/>
  <c r="O254" i="23"/>
  <c r="X155" i="23"/>
  <c r="Y155" i="23" s="1"/>
  <c r="U155" i="23"/>
  <c r="U189" i="23"/>
  <c r="X189" i="23"/>
  <c r="Y189" i="23" s="1"/>
  <c r="U223" i="23"/>
  <c r="X223" i="23"/>
  <c r="U36" i="23"/>
  <c r="X36" i="23"/>
  <c r="Y36" i="23" s="1"/>
  <c r="U52" i="23"/>
  <c r="U148" i="23"/>
  <c r="V36" i="23"/>
  <c r="W36" i="23" s="1"/>
  <c r="U220" i="23"/>
  <c r="O15" i="23"/>
  <c r="X82" i="23"/>
  <c r="Y82" i="23" s="1"/>
  <c r="O104" i="23"/>
  <c r="O271" i="23"/>
  <c r="V271" i="23"/>
  <c r="W271" i="23" s="1"/>
  <c r="X15" i="23"/>
  <c r="Y15" i="23" s="1"/>
  <c r="U15" i="23"/>
  <c r="O42" i="23"/>
  <c r="V71" i="23"/>
  <c r="W71" i="23" s="1"/>
  <c r="N70" i="23"/>
  <c r="O70" i="23" s="1"/>
  <c r="O71" i="23"/>
  <c r="V100" i="23"/>
  <c r="W100" i="23" s="1"/>
  <c r="O100" i="23"/>
  <c r="T19" i="23"/>
  <c r="X19" i="23" s="1"/>
  <c r="Y19" i="23" s="1"/>
  <c r="U83" i="23"/>
  <c r="X83" i="23"/>
  <c r="Y83" i="23" s="1"/>
  <c r="X157" i="23"/>
  <c r="Y157" i="23" s="1"/>
  <c r="V157" i="23"/>
  <c r="W157" i="23" s="1"/>
  <c r="U157" i="23"/>
  <c r="X170" i="23"/>
  <c r="Y170" i="23" s="1"/>
  <c r="T169" i="23"/>
  <c r="X169" i="23" s="1"/>
  <c r="Y169" i="23" s="1"/>
  <c r="U170" i="23"/>
  <c r="V194" i="23"/>
  <c r="W194" i="23" s="1"/>
  <c r="R212" i="23"/>
  <c r="V244" i="23"/>
  <c r="W244" i="23" s="1"/>
  <c r="O244" i="23"/>
  <c r="O262" i="23"/>
  <c r="V262" i="23"/>
  <c r="W262" i="23" s="1"/>
  <c r="X24" i="23"/>
  <c r="Y24" i="23" s="1"/>
  <c r="X60" i="23"/>
  <c r="Y60" i="23" s="1"/>
  <c r="U60" i="23"/>
  <c r="V188" i="23"/>
  <c r="W188" i="23" s="1"/>
  <c r="U188" i="23"/>
  <c r="O188" i="23"/>
  <c r="U13" i="23"/>
  <c r="M37" i="23"/>
  <c r="L96" i="23"/>
  <c r="U98" i="23"/>
  <c r="X98" i="23"/>
  <c r="Y98" i="23" s="1"/>
  <c r="O124" i="23"/>
  <c r="V124" i="23"/>
  <c r="W124" i="23" s="1"/>
  <c r="O144" i="23"/>
  <c r="V144" i="23"/>
  <c r="W144" i="23" s="1"/>
  <c r="N193" i="23"/>
  <c r="O193" i="23" s="1"/>
  <c r="U251" i="23"/>
  <c r="O176" i="23"/>
  <c r="V176" i="23"/>
  <c r="W176" i="23" s="1"/>
  <c r="U42" i="23"/>
  <c r="V47" i="23"/>
  <c r="W47" i="23" s="1"/>
  <c r="U47" i="23"/>
  <c r="O185" i="23"/>
  <c r="U191" i="23"/>
  <c r="T204" i="23"/>
  <c r="U271" i="23"/>
  <c r="X42" i="23"/>
  <c r="Y42" i="23" s="1"/>
  <c r="O47" i="23"/>
  <c r="L122" i="23"/>
  <c r="O150" i="23"/>
  <c r="O156" i="23"/>
  <c r="V179" i="23"/>
  <c r="W179" i="23" s="1"/>
  <c r="X252" i="23"/>
  <c r="U252" i="23"/>
  <c r="V82" i="23"/>
  <c r="W82" i="23" s="1"/>
  <c r="V86" i="23"/>
  <c r="W86" i="23" s="1"/>
  <c r="T97" i="23"/>
  <c r="U116" i="23"/>
  <c r="M122" i="23"/>
  <c r="S121" i="23"/>
  <c r="N146" i="23"/>
  <c r="O146" i="23" s="1"/>
  <c r="O149" i="23"/>
  <c r="U153" i="23"/>
  <c r="O162" i="23"/>
  <c r="O164" i="23"/>
  <c r="X179" i="23"/>
  <c r="Y179" i="23" s="1"/>
  <c r="V184" i="23"/>
  <c r="W184" i="23" s="1"/>
  <c r="U184" i="23"/>
  <c r="U185" i="23"/>
  <c r="X200" i="23"/>
  <c r="Y200" i="23" s="1"/>
  <c r="U200" i="23"/>
  <c r="U210" i="23"/>
  <c r="L212" i="23"/>
  <c r="U222" i="23"/>
  <c r="V224" i="23"/>
  <c r="W224" i="23" s="1"/>
  <c r="X225" i="23"/>
  <c r="O234" i="23"/>
  <c r="V234" i="23"/>
  <c r="W234" i="23" s="1"/>
  <c r="V237" i="23"/>
  <c r="W237" i="23" s="1"/>
  <c r="O237" i="23"/>
  <c r="U246" i="23"/>
  <c r="O255" i="23"/>
  <c r="O261" i="23"/>
  <c r="O269" i="23"/>
  <c r="O142" i="23"/>
  <c r="V142" i="23"/>
  <c r="W142" i="23" s="1"/>
  <c r="U181" i="23"/>
  <c r="U254" i="23"/>
  <c r="U264" i="23"/>
  <c r="X264" i="23"/>
  <c r="U95" i="23"/>
  <c r="U151" i="23"/>
  <c r="O195" i="23"/>
  <c r="V195" i="23"/>
  <c r="W195" i="23" s="1"/>
  <c r="O210" i="23"/>
  <c r="O217" i="23"/>
  <c r="V217" i="23"/>
  <c r="W217" i="23" s="1"/>
  <c r="X228" i="23"/>
  <c r="U244" i="23"/>
  <c r="O252" i="23"/>
  <c r="U260" i="23"/>
  <c r="N19" i="23"/>
  <c r="U71" i="23"/>
  <c r="L84" i="23"/>
  <c r="O89" i="23"/>
  <c r="V171" i="23"/>
  <c r="W171" i="23" s="1"/>
  <c r="O171" i="23"/>
  <c r="U195" i="23"/>
  <c r="U205" i="23"/>
  <c r="Q213" i="23"/>
  <c r="Q212" i="23" s="1"/>
  <c r="U224" i="23"/>
  <c r="O258" i="23"/>
  <c r="U20" i="23"/>
  <c r="U26" i="23"/>
  <c r="U32" i="23"/>
  <c r="I69" i="23"/>
  <c r="L10" i="23"/>
  <c r="U12" i="23"/>
  <c r="X20" i="23"/>
  <c r="Y20" i="23" s="1"/>
  <c r="V26" i="23"/>
  <c r="W26" i="23" s="1"/>
  <c r="X32" i="23"/>
  <c r="Y32" i="23" s="1"/>
  <c r="O41" i="23"/>
  <c r="U43" i="23"/>
  <c r="U76" i="23"/>
  <c r="N77" i="23"/>
  <c r="O77" i="23" s="1"/>
  <c r="X86" i="23"/>
  <c r="Y86" i="23" s="1"/>
  <c r="I96" i="23"/>
  <c r="P122" i="23"/>
  <c r="U128" i="23"/>
  <c r="X128" i="23"/>
  <c r="Y128" i="23" s="1"/>
  <c r="V138" i="23"/>
  <c r="W138" i="23" s="1"/>
  <c r="K145" i="23"/>
  <c r="V150" i="23"/>
  <c r="W150" i="23" s="1"/>
  <c r="V153" i="23"/>
  <c r="W153" i="23" s="1"/>
  <c r="V155" i="23"/>
  <c r="W155" i="23" s="1"/>
  <c r="U156" i="23"/>
  <c r="U171" i="23"/>
  <c r="O184" i="23"/>
  <c r="V186" i="23"/>
  <c r="W186" i="23" s="1"/>
  <c r="U190" i="23"/>
  <c r="U196" i="23"/>
  <c r="T201" i="23"/>
  <c r="U203" i="23"/>
  <c r="U208" i="23"/>
  <c r="V222" i="23"/>
  <c r="W222" i="23" s="1"/>
  <c r="X243" i="23"/>
  <c r="T242" i="23"/>
  <c r="U255" i="23"/>
  <c r="X255" i="23"/>
  <c r="U261" i="23"/>
  <c r="X265" i="23"/>
  <c r="U238" i="23"/>
  <c r="O20" i="23"/>
  <c r="O190" i="23"/>
  <c r="O208" i="23"/>
  <c r="K212" i="23"/>
  <c r="K10" i="23"/>
  <c r="R37" i="23"/>
  <c r="V24" i="23"/>
  <c r="W24" i="23" s="1"/>
  <c r="V46" i="23"/>
  <c r="W46" i="23" s="1"/>
  <c r="T70" i="23"/>
  <c r="U70" i="23" s="1"/>
  <c r="T73" i="23"/>
  <c r="O90" i="23"/>
  <c r="V90" i="23"/>
  <c r="W90" i="23" s="1"/>
  <c r="J96" i="23"/>
  <c r="J9" i="23" s="1"/>
  <c r="J8" i="23" s="1"/>
  <c r="J273" i="23" s="1"/>
  <c r="R110" i="23"/>
  <c r="T135" i="23"/>
  <c r="U135" i="23" s="1"/>
  <c r="U149" i="23"/>
  <c r="U152" i="23"/>
  <c r="O155" i="23"/>
  <c r="U160" i="23"/>
  <c r="X166" i="23"/>
  <c r="Y166" i="23" s="1"/>
  <c r="U166" i="23"/>
  <c r="V189" i="23"/>
  <c r="W189" i="23" s="1"/>
  <c r="V196" i="23"/>
  <c r="W196" i="23" s="1"/>
  <c r="V203" i="23"/>
  <c r="W203" i="23" s="1"/>
  <c r="P212" i="23"/>
  <c r="V223" i="23"/>
  <c r="W223" i="23" s="1"/>
  <c r="X224" i="23"/>
  <c r="U226" i="23"/>
  <c r="U237" i="23"/>
  <c r="U243" i="23"/>
  <c r="U245" i="23"/>
  <c r="X245" i="23"/>
  <c r="V253" i="23"/>
  <c r="W253" i="23" s="1"/>
  <c r="V270" i="23"/>
  <c r="W270" i="23" s="1"/>
  <c r="O270" i="23"/>
  <c r="U247" i="23"/>
  <c r="V16" i="23"/>
  <c r="W16" i="23" s="1"/>
  <c r="Q30" i="23"/>
  <c r="O39" i="23"/>
  <c r="N38" i="23"/>
  <c r="T41" i="23"/>
  <c r="U41" i="23" s="1"/>
  <c r="V68" i="23"/>
  <c r="W68" i="23" s="1"/>
  <c r="R69" i="23"/>
  <c r="J69" i="23"/>
  <c r="T78" i="23"/>
  <c r="U78" i="23" s="1"/>
  <c r="V99" i="23"/>
  <c r="W99" i="23" s="1"/>
  <c r="U100" i="23"/>
  <c r="K110" i="23"/>
  <c r="T112" i="23"/>
  <c r="X112" i="23" s="1"/>
  <c r="Y112" i="23" s="1"/>
  <c r="U176" i="23"/>
  <c r="V183" i="23"/>
  <c r="W183" i="23" s="1"/>
  <c r="V192" i="23"/>
  <c r="W192" i="23" s="1"/>
  <c r="S212" i="23"/>
  <c r="V225" i="23"/>
  <c r="W225" i="23" s="1"/>
  <c r="X247" i="23"/>
  <c r="L248" i="23"/>
  <c r="O263" i="23"/>
  <c r="V268" i="23"/>
  <c r="W268" i="23" s="1"/>
  <c r="K248" i="23"/>
  <c r="V13" i="23"/>
  <c r="W13" i="23" s="1"/>
  <c r="V34" i="23"/>
  <c r="W34" i="23" s="1"/>
  <c r="P38" i="23"/>
  <c r="P37" i="23" s="1"/>
  <c r="V76" i="23"/>
  <c r="W76" i="23" s="1"/>
  <c r="X81" i="23"/>
  <c r="Y81" i="23" s="1"/>
  <c r="K84" i="23"/>
  <c r="S84" i="23"/>
  <c r="V187" i="23"/>
  <c r="W187" i="23" s="1"/>
  <c r="N221" i="23"/>
  <c r="V240" i="23"/>
  <c r="W240" i="23" s="1"/>
  <c r="V246" i="23"/>
  <c r="W246" i="23" s="1"/>
  <c r="M248" i="23"/>
  <c r="N249" i="23"/>
  <c r="O268" i="23"/>
  <c r="U270" i="23"/>
  <c r="X97" i="23"/>
  <c r="Y97" i="23" s="1"/>
  <c r="O11" i="23"/>
  <c r="V11" i="23"/>
  <c r="W11" i="23" s="1"/>
  <c r="X40" i="23"/>
  <c r="Y40" i="23" s="1"/>
  <c r="U40" i="23"/>
  <c r="X54" i="23"/>
  <c r="Y54" i="23" s="1"/>
  <c r="V54" i="23"/>
  <c r="W54" i="23" s="1"/>
  <c r="U54" i="23"/>
  <c r="U67" i="23"/>
  <c r="X67" i="23"/>
  <c r="Y67" i="23" s="1"/>
  <c r="T66" i="23"/>
  <c r="X66" i="23" s="1"/>
  <c r="Y66" i="23" s="1"/>
  <c r="O139" i="23"/>
  <c r="V139" i="23"/>
  <c r="W139" i="23" s="1"/>
  <c r="U11" i="23"/>
  <c r="O17" i="23"/>
  <c r="U18" i="23"/>
  <c r="O34" i="23"/>
  <c r="U35" i="23"/>
  <c r="U45" i="23"/>
  <c r="V48" i="23"/>
  <c r="W48" i="23" s="1"/>
  <c r="O48" i="23"/>
  <c r="U50" i="23"/>
  <c r="U55" i="23"/>
  <c r="U56" i="23"/>
  <c r="U63" i="23"/>
  <c r="V67" i="23"/>
  <c r="W67" i="23" s="1"/>
  <c r="X75" i="23"/>
  <c r="Y75" i="23" s="1"/>
  <c r="O79" i="23"/>
  <c r="N111" i="23"/>
  <c r="O112" i="23"/>
  <c r="U125" i="23"/>
  <c r="X125" i="23"/>
  <c r="Y125" i="23" s="1"/>
  <c r="O137" i="23"/>
  <c r="N135" i="23"/>
  <c r="V137" i="23"/>
  <c r="W137" i="23" s="1"/>
  <c r="O16" i="23"/>
  <c r="V18" i="23"/>
  <c r="W18" i="23" s="1"/>
  <c r="O28" i="23"/>
  <c r="O33" i="23"/>
  <c r="V43" i="23"/>
  <c r="W43" i="23" s="1"/>
  <c r="U44" i="23"/>
  <c r="T49" i="23"/>
  <c r="V50" i="23"/>
  <c r="W50" i="23" s="1"/>
  <c r="V55" i="23"/>
  <c r="W55" i="23" s="1"/>
  <c r="V56" i="23"/>
  <c r="W56" i="23" s="1"/>
  <c r="O73" i="23"/>
  <c r="N72" i="23"/>
  <c r="V73" i="23"/>
  <c r="W73" i="23" s="1"/>
  <c r="O83" i="23"/>
  <c r="V83" i="23"/>
  <c r="W83" i="23" s="1"/>
  <c r="Q93" i="23"/>
  <c r="Q84" i="23" s="1"/>
  <c r="T120" i="23"/>
  <c r="Q119" i="23"/>
  <c r="Q110" i="23" s="1"/>
  <c r="V125" i="23"/>
  <c r="W125" i="23" s="1"/>
  <c r="U131" i="23"/>
  <c r="X131" i="23"/>
  <c r="Y131" i="23" s="1"/>
  <c r="V131" i="23"/>
  <c r="W131" i="23" s="1"/>
  <c r="U127" i="23"/>
  <c r="X127" i="23"/>
  <c r="Y127" i="23" s="1"/>
  <c r="U34" i="23"/>
  <c r="T39" i="23"/>
  <c r="V44" i="23"/>
  <c r="W44" i="23" s="1"/>
  <c r="X73" i="23"/>
  <c r="Y73" i="23" s="1"/>
  <c r="U73" i="23"/>
  <c r="T72" i="23"/>
  <c r="N58" i="23"/>
  <c r="O14" i="23"/>
  <c r="U16" i="23"/>
  <c r="V17" i="23"/>
  <c r="W17" i="23" s="1"/>
  <c r="X18" i="23"/>
  <c r="Y18" i="23" s="1"/>
  <c r="O19" i="23"/>
  <c r="N25" i="23"/>
  <c r="T28" i="23"/>
  <c r="U29" i="23"/>
  <c r="O32" i="23"/>
  <c r="T33" i="23"/>
  <c r="X43" i="23"/>
  <c r="Y43" i="23" s="1"/>
  <c r="O46" i="23"/>
  <c r="N49" i="23"/>
  <c r="U61" i="23"/>
  <c r="N81" i="23"/>
  <c r="O82" i="23"/>
  <c r="U89" i="23"/>
  <c r="X89" i="23"/>
  <c r="Y89" i="23" s="1"/>
  <c r="T88" i="23"/>
  <c r="O119" i="23"/>
  <c r="T58" i="23"/>
  <c r="X63" i="23"/>
  <c r="Y63" i="23" s="1"/>
  <c r="V92" i="23"/>
  <c r="W92" i="23" s="1"/>
  <c r="N91" i="23"/>
  <c r="U92" i="23"/>
  <c r="O92" i="23"/>
  <c r="V29" i="23"/>
  <c r="W29" i="23" s="1"/>
  <c r="V40" i="23"/>
  <c r="W40" i="23" s="1"/>
  <c r="O45" i="23"/>
  <c r="V45" i="23"/>
  <c r="W45" i="23" s="1"/>
  <c r="U46" i="23"/>
  <c r="V61" i="23"/>
  <c r="W61" i="23" s="1"/>
  <c r="I65" i="23"/>
  <c r="V87" i="23"/>
  <c r="W87" i="23" s="1"/>
  <c r="N85" i="23"/>
  <c r="O87" i="23"/>
  <c r="U129" i="23"/>
  <c r="X129" i="23"/>
  <c r="Y129" i="23" s="1"/>
  <c r="Q11" i="23"/>
  <c r="O12" i="23"/>
  <c r="U14" i="23"/>
  <c r="U27" i="23"/>
  <c r="V35" i="23"/>
  <c r="W35" i="23" s="1"/>
  <c r="U53" i="23"/>
  <c r="O74" i="23"/>
  <c r="T77" i="23"/>
  <c r="J84" i="23"/>
  <c r="O94" i="23"/>
  <c r="N93" i="23"/>
  <c r="V94" i="23"/>
  <c r="W94" i="23" s="1"/>
  <c r="O101" i="23"/>
  <c r="V101" i="23"/>
  <c r="W101" i="23" s="1"/>
  <c r="T118" i="23"/>
  <c r="O133" i="23"/>
  <c r="V133" i="23"/>
  <c r="W133" i="23" s="1"/>
  <c r="O143" i="23"/>
  <c r="V143" i="23"/>
  <c r="W143" i="23" s="1"/>
  <c r="X11" i="23"/>
  <c r="Y11" i="23" s="1"/>
  <c r="U17" i="23"/>
  <c r="N30" i="23"/>
  <c r="Q49" i="23"/>
  <c r="Q37" i="23" s="1"/>
  <c r="V53" i="23"/>
  <c r="W53" i="23" s="1"/>
  <c r="X74" i="23"/>
  <c r="Y74" i="23" s="1"/>
  <c r="U74" i="23"/>
  <c r="U94" i="23"/>
  <c r="X94" i="23"/>
  <c r="Y94" i="23" s="1"/>
  <c r="T93" i="23"/>
  <c r="U93" i="23" s="1"/>
  <c r="U101" i="23"/>
  <c r="X101" i="23"/>
  <c r="Y101" i="23" s="1"/>
  <c r="X104" i="23"/>
  <c r="Y104" i="23" s="1"/>
  <c r="V106" i="23"/>
  <c r="W106" i="23" s="1"/>
  <c r="U106" i="23"/>
  <c r="N103" i="23"/>
  <c r="O106" i="23"/>
  <c r="O127" i="23"/>
  <c r="V127" i="23"/>
  <c r="W127" i="23" s="1"/>
  <c r="U133" i="23"/>
  <c r="X133" i="23"/>
  <c r="Y133" i="23" s="1"/>
  <c r="O141" i="23"/>
  <c r="V141" i="23"/>
  <c r="W141" i="23" s="1"/>
  <c r="O118" i="23"/>
  <c r="V120" i="23"/>
  <c r="W120" i="23" s="1"/>
  <c r="X161" i="23"/>
  <c r="Y161" i="23" s="1"/>
  <c r="V161" i="23"/>
  <c r="W161" i="23" s="1"/>
  <c r="T158" i="23"/>
  <c r="U161" i="23"/>
  <c r="U175" i="23"/>
  <c r="V175" i="23"/>
  <c r="W175" i="23" s="1"/>
  <c r="X175" i="23"/>
  <c r="Y175" i="23" s="1"/>
  <c r="V215" i="23"/>
  <c r="W215" i="23" s="1"/>
  <c r="O215" i="23"/>
  <c r="O249" i="23"/>
  <c r="V257" i="23"/>
  <c r="W257" i="23" s="1"/>
  <c r="U257" i="23"/>
  <c r="O257" i="23"/>
  <c r="N256" i="23"/>
  <c r="X259" i="23"/>
  <c r="T256" i="23"/>
  <c r="X256" i="23" s="1"/>
  <c r="V259" i="23"/>
  <c r="W259" i="23" s="1"/>
  <c r="U259" i="23"/>
  <c r="X168" i="23"/>
  <c r="Y168" i="23" s="1"/>
  <c r="V168" i="23"/>
  <c r="W168" i="23" s="1"/>
  <c r="U168" i="23"/>
  <c r="T213" i="23"/>
  <c r="U215" i="23"/>
  <c r="X215" i="23"/>
  <c r="K69" i="23"/>
  <c r="S69" i="23"/>
  <c r="S9" i="23" s="1"/>
  <c r="S8" i="23" s="1"/>
  <c r="S273" i="23" s="1"/>
  <c r="Q72" i="23"/>
  <c r="Q69" i="23" s="1"/>
  <c r="P77" i="23"/>
  <c r="P69" i="23" s="1"/>
  <c r="V116" i="23"/>
  <c r="W116" i="23" s="1"/>
  <c r="N123" i="23"/>
  <c r="U137" i="23"/>
  <c r="U139" i="23"/>
  <c r="U141" i="23"/>
  <c r="U143" i="23"/>
  <c r="O174" i="23"/>
  <c r="V174" i="23"/>
  <c r="W174" i="23" s="1"/>
  <c r="Q58" i="23"/>
  <c r="Q57" i="23" s="1"/>
  <c r="N75" i="23"/>
  <c r="U75" i="23" s="1"/>
  <c r="V98" i="23"/>
  <c r="W98" i="23" s="1"/>
  <c r="U102" i="23"/>
  <c r="O108" i="23"/>
  <c r="N107" i="23"/>
  <c r="M69" i="23"/>
  <c r="U81" i="23"/>
  <c r="U82" i="23"/>
  <c r="P84" i="23"/>
  <c r="V104" i="23"/>
  <c r="W104" i="23" s="1"/>
  <c r="Q107" i="23"/>
  <c r="T108" i="23"/>
  <c r="U113" i="23"/>
  <c r="X115" i="23"/>
  <c r="Y115" i="23" s="1"/>
  <c r="O134" i="23"/>
  <c r="P145" i="23"/>
  <c r="N66" i="23"/>
  <c r="O68" i="23"/>
  <c r="O76" i="23"/>
  <c r="R84" i="23"/>
  <c r="U87" i="23"/>
  <c r="N88" i="23"/>
  <c r="U109" i="23"/>
  <c r="V113" i="23"/>
  <c r="W113" i="23" s="1"/>
  <c r="N114" i="23"/>
  <c r="U115" i="23"/>
  <c r="X117" i="23"/>
  <c r="Y117" i="23" s="1"/>
  <c r="U117" i="23"/>
  <c r="K121" i="23"/>
  <c r="R122" i="23"/>
  <c r="R121" i="23" s="1"/>
  <c r="V128" i="23"/>
  <c r="W128" i="23" s="1"/>
  <c r="U130" i="23"/>
  <c r="N69" i="23"/>
  <c r="T80" i="23"/>
  <c r="U90" i="23"/>
  <c r="O95" i="23"/>
  <c r="S96" i="23"/>
  <c r="X100" i="23"/>
  <c r="Y100" i="23" s="1"/>
  <c r="X102" i="23"/>
  <c r="Y102" i="23" s="1"/>
  <c r="Q103" i="23"/>
  <c r="Q96" i="23" s="1"/>
  <c r="V108" i="23"/>
  <c r="W108" i="23" s="1"/>
  <c r="I110" i="23"/>
  <c r="V115" i="23"/>
  <c r="W115" i="23" s="1"/>
  <c r="V117" i="23"/>
  <c r="W117" i="23" s="1"/>
  <c r="V130" i="23"/>
  <c r="W130" i="23" s="1"/>
  <c r="J145" i="23"/>
  <c r="T105" i="23"/>
  <c r="P103" i="23"/>
  <c r="P96" i="23" s="1"/>
  <c r="U124" i="23"/>
  <c r="U132" i="23"/>
  <c r="Q123" i="23"/>
  <c r="Q122" i="23" s="1"/>
  <c r="Q121" i="23" s="1"/>
  <c r="T134" i="23"/>
  <c r="V134" i="23" s="1"/>
  <c r="W134" i="23" s="1"/>
  <c r="X163" i="23"/>
  <c r="Y163" i="23" s="1"/>
  <c r="U163" i="23"/>
  <c r="U177" i="23"/>
  <c r="X177" i="23"/>
  <c r="Y177" i="23" s="1"/>
  <c r="X206" i="23"/>
  <c r="V206" i="23"/>
  <c r="W206" i="23" s="1"/>
  <c r="U206" i="23"/>
  <c r="J122" i="23"/>
  <c r="J121" i="23" s="1"/>
  <c r="U126" i="23"/>
  <c r="V129" i="23"/>
  <c r="W129" i="23" s="1"/>
  <c r="X132" i="23"/>
  <c r="Y132" i="23" s="1"/>
  <c r="U136" i="23"/>
  <c r="U138" i="23"/>
  <c r="U140" i="23"/>
  <c r="U142" i="23"/>
  <c r="U144" i="23"/>
  <c r="X165" i="23"/>
  <c r="Y165" i="23" s="1"/>
  <c r="U165" i="23"/>
  <c r="L145" i="23"/>
  <c r="L121" i="23" s="1"/>
  <c r="U173" i="23"/>
  <c r="T172" i="23"/>
  <c r="X202" i="23"/>
  <c r="Y202" i="23" s="1"/>
  <c r="U202" i="23"/>
  <c r="U197" i="23"/>
  <c r="V197" i="23"/>
  <c r="W197" i="23" s="1"/>
  <c r="X197" i="23"/>
  <c r="Y197" i="23" s="1"/>
  <c r="U199" i="23"/>
  <c r="X199" i="23"/>
  <c r="Y199" i="23" s="1"/>
  <c r="V199" i="23"/>
  <c r="W199" i="23" s="1"/>
  <c r="U209" i="23"/>
  <c r="X209" i="23"/>
  <c r="V209" i="23"/>
  <c r="W209" i="23" s="1"/>
  <c r="O211" i="23"/>
  <c r="V211" i="23"/>
  <c r="W211" i="23" s="1"/>
  <c r="X217" i="23"/>
  <c r="U217" i="23"/>
  <c r="I212" i="23"/>
  <c r="U180" i="23"/>
  <c r="V239" i="23"/>
  <c r="W239" i="23" s="1"/>
  <c r="U239" i="23"/>
  <c r="X241" i="23"/>
  <c r="V241" i="23"/>
  <c r="W241" i="23" s="1"/>
  <c r="N97" i="23"/>
  <c r="U97" i="23" s="1"/>
  <c r="P111" i="23"/>
  <c r="P110" i="23" s="1"/>
  <c r="V162" i="23"/>
  <c r="W162" i="23" s="1"/>
  <c r="N169" i="23"/>
  <c r="V170" i="23"/>
  <c r="W170" i="23" s="1"/>
  <c r="U174" i="23"/>
  <c r="V177" i="23"/>
  <c r="W177" i="23" s="1"/>
  <c r="U211" i="23"/>
  <c r="O230" i="23"/>
  <c r="U232" i="23"/>
  <c r="O239" i="23"/>
  <c r="U241" i="23"/>
  <c r="X167" i="23"/>
  <c r="Y167" i="23" s="1"/>
  <c r="V167" i="23"/>
  <c r="W167" i="23" s="1"/>
  <c r="P169" i="23"/>
  <c r="N172" i="23"/>
  <c r="N204" i="23"/>
  <c r="O207" i="23"/>
  <c r="T221" i="23"/>
  <c r="U221" i="23" s="1"/>
  <c r="O226" i="23"/>
  <c r="V226" i="23"/>
  <c r="W226" i="23" s="1"/>
  <c r="O228" i="23"/>
  <c r="N227" i="23"/>
  <c r="V228" i="23"/>
  <c r="W228" i="23" s="1"/>
  <c r="U230" i="23"/>
  <c r="X230" i="23"/>
  <c r="V232" i="23"/>
  <c r="W232" i="23" s="1"/>
  <c r="X242" i="23"/>
  <c r="O247" i="23"/>
  <c r="V247" i="23"/>
  <c r="W247" i="23" s="1"/>
  <c r="V267" i="23"/>
  <c r="W267" i="23" s="1"/>
  <c r="U267" i="23"/>
  <c r="O267" i="23"/>
  <c r="N266" i="23"/>
  <c r="X269" i="23"/>
  <c r="T266" i="23"/>
  <c r="U269" i="23"/>
  <c r="V146" i="23"/>
  <c r="W146" i="23" s="1"/>
  <c r="X205" i="23"/>
  <c r="Y205" i="23" s="1"/>
  <c r="V205" i="23"/>
  <c r="W205" i="23" s="1"/>
  <c r="V214" i="23"/>
  <c r="W214" i="23" s="1"/>
  <c r="U214" i="23"/>
  <c r="N213" i="23"/>
  <c r="X216" i="23"/>
  <c r="V216" i="23"/>
  <c r="W216" i="23" s="1"/>
  <c r="X219" i="23"/>
  <c r="V219" i="23"/>
  <c r="W219" i="23" s="1"/>
  <c r="X234" i="23"/>
  <c r="U234" i="23"/>
  <c r="N235" i="23"/>
  <c r="O221" i="23"/>
  <c r="V221" i="23"/>
  <c r="W221" i="23" s="1"/>
  <c r="V166" i="23"/>
  <c r="W166" i="23" s="1"/>
  <c r="V173" i="23"/>
  <c r="W173" i="23" s="1"/>
  <c r="X176" i="23"/>
  <c r="Y176" i="23" s="1"/>
  <c r="U178" i="23"/>
  <c r="V181" i="23"/>
  <c r="W181" i="23" s="1"/>
  <c r="X195" i="23"/>
  <c r="Y195" i="23" s="1"/>
  <c r="V200" i="23"/>
  <c r="W200" i="23" s="1"/>
  <c r="X204" i="23"/>
  <c r="Y204" i="23" s="1"/>
  <c r="V207" i="23"/>
  <c r="W207" i="23" s="1"/>
  <c r="U218" i="23"/>
  <c r="V220" i="23"/>
  <c r="W220" i="23" s="1"/>
  <c r="M212" i="23"/>
  <c r="X226" i="23"/>
  <c r="V229" i="23"/>
  <c r="W229" i="23" s="1"/>
  <c r="U229" i="23"/>
  <c r="X231" i="23"/>
  <c r="V231" i="23"/>
  <c r="W231" i="23" s="1"/>
  <c r="O238" i="23"/>
  <c r="V238" i="23"/>
  <c r="W238" i="23" s="1"/>
  <c r="U240" i="23"/>
  <c r="X240" i="23"/>
  <c r="N242" i="23"/>
  <c r="X248" i="23"/>
  <c r="X250" i="23"/>
  <c r="V250" i="23"/>
  <c r="W250" i="23" s="1"/>
  <c r="U250" i="23"/>
  <c r="T249" i="23"/>
  <c r="O265" i="23"/>
  <c r="V265" i="23"/>
  <c r="W265" i="23" s="1"/>
  <c r="X272" i="23"/>
  <c r="V272" i="23"/>
  <c r="W272" i="23" s="1"/>
  <c r="U272" i="23"/>
  <c r="V264" i="23"/>
  <c r="W264" i="23" s="1"/>
  <c r="X268" i="23"/>
  <c r="N182" i="23"/>
  <c r="O220" i="23"/>
  <c r="O222" i="23"/>
  <c r="T235" i="23"/>
  <c r="O243" i="23"/>
  <c r="O251" i="23"/>
  <c r="U253" i="23"/>
  <c r="O260" i="23"/>
  <c r="U262" i="23"/>
  <c r="V251" i="23"/>
  <c r="W251" i="23" s="1"/>
  <c r="U258" i="23"/>
  <c r="T227" i="23"/>
  <c r="X227" i="23" s="1"/>
  <c r="U146" i="23" l="1"/>
  <c r="V193" i="23"/>
  <c r="W193" i="23" s="1"/>
  <c r="K9" i="23"/>
  <c r="K8" i="23" s="1"/>
  <c r="K273" i="23" s="1"/>
  <c r="X135" i="23"/>
  <c r="Y135" i="23" s="1"/>
  <c r="X201" i="23"/>
  <c r="Y201" i="23" s="1"/>
  <c r="U201" i="23"/>
  <c r="V201" i="23"/>
  <c r="W201" i="23" s="1"/>
  <c r="T111" i="23"/>
  <c r="X111" i="23" s="1"/>
  <c r="Y111" i="23" s="1"/>
  <c r="R9" i="23"/>
  <c r="R8" i="23" s="1"/>
  <c r="R273" i="23" s="1"/>
  <c r="I9" i="23"/>
  <c r="L9" i="23"/>
  <c r="L8" i="23"/>
  <c r="L273" i="23" s="1"/>
  <c r="V41" i="23"/>
  <c r="W41" i="23" s="1"/>
  <c r="U193" i="23"/>
  <c r="U19" i="23"/>
  <c r="V78" i="23"/>
  <c r="W78" i="23" s="1"/>
  <c r="M121" i="23"/>
  <c r="V112" i="23"/>
  <c r="W112" i="23" s="1"/>
  <c r="X70" i="23"/>
  <c r="Y70" i="23" s="1"/>
  <c r="U112" i="23"/>
  <c r="X41" i="23"/>
  <c r="Y41" i="23" s="1"/>
  <c r="V249" i="23"/>
  <c r="W249" i="23" s="1"/>
  <c r="X221" i="23"/>
  <c r="V70" i="23"/>
  <c r="W70" i="23" s="1"/>
  <c r="M9" i="23"/>
  <c r="P9" i="23"/>
  <c r="X78" i="23"/>
  <c r="Y78" i="23" s="1"/>
  <c r="Q10" i="23"/>
  <c r="Q9" i="23" s="1"/>
  <c r="Q8" i="23" s="1"/>
  <c r="Q273" i="23" s="1"/>
  <c r="V19" i="23"/>
  <c r="W19" i="23" s="1"/>
  <c r="M8" i="23"/>
  <c r="M273" i="23" s="1"/>
  <c r="O242" i="23"/>
  <c r="V242" i="23"/>
  <c r="W242" i="23" s="1"/>
  <c r="U242" i="23"/>
  <c r="O235" i="23"/>
  <c r="V235" i="23"/>
  <c r="W235" i="23" s="1"/>
  <c r="O266" i="23"/>
  <c r="V266" i="23"/>
  <c r="W266" i="23" s="1"/>
  <c r="T145" i="23"/>
  <c r="P121" i="23"/>
  <c r="P8" i="23" s="1"/>
  <c r="P273" i="23" s="1"/>
  <c r="N122" i="23"/>
  <c r="O123" i="23"/>
  <c r="U213" i="23"/>
  <c r="T212" i="23"/>
  <c r="X213" i="23"/>
  <c r="O256" i="23"/>
  <c r="V256" i="23"/>
  <c r="W256" i="23" s="1"/>
  <c r="X118" i="23"/>
  <c r="Y118" i="23" s="1"/>
  <c r="U118" i="23"/>
  <c r="O85" i="23"/>
  <c r="N84" i="23"/>
  <c r="V85" i="23"/>
  <c r="W85" i="23" s="1"/>
  <c r="X33" i="23"/>
  <c r="Y33" i="23" s="1"/>
  <c r="U33" i="23"/>
  <c r="T30" i="23"/>
  <c r="X39" i="23"/>
  <c r="Y39" i="23" s="1"/>
  <c r="U39" i="23"/>
  <c r="T38" i="23"/>
  <c r="O204" i="23"/>
  <c r="V204" i="23"/>
  <c r="W204" i="23" s="1"/>
  <c r="O169" i="23"/>
  <c r="V169" i="23"/>
  <c r="W169" i="23" s="1"/>
  <c r="O30" i="23"/>
  <c r="V30" i="23"/>
  <c r="W30" i="23" s="1"/>
  <c r="U77" i="23"/>
  <c r="X77" i="23"/>
  <c r="Y77" i="23" s="1"/>
  <c r="V39" i="23"/>
  <c r="W39" i="23" s="1"/>
  <c r="T84" i="23"/>
  <c r="X120" i="23"/>
  <c r="Y120" i="23" s="1"/>
  <c r="T119" i="23"/>
  <c r="U120" i="23"/>
  <c r="N37" i="23"/>
  <c r="O38" i="23"/>
  <c r="V227" i="23"/>
  <c r="W227" i="23" s="1"/>
  <c r="O227" i="23"/>
  <c r="X212" i="23"/>
  <c r="U172" i="23"/>
  <c r="X80" i="23"/>
  <c r="Y80" i="23" s="1"/>
  <c r="V80" i="23"/>
  <c r="W80" i="23" s="1"/>
  <c r="T79" i="23"/>
  <c r="U80" i="23"/>
  <c r="T114" i="23"/>
  <c r="V118" i="23"/>
  <c r="W118" i="23" s="1"/>
  <c r="O103" i="23"/>
  <c r="O81" i="23"/>
  <c r="V81" i="23"/>
  <c r="W81" i="23" s="1"/>
  <c r="X28" i="23"/>
  <c r="Y28" i="23" s="1"/>
  <c r="U28" i="23"/>
  <c r="T25" i="23"/>
  <c r="U72" i="23"/>
  <c r="X72" i="23"/>
  <c r="Y72" i="23" s="1"/>
  <c r="O172" i="23"/>
  <c r="V172" i="23"/>
  <c r="W172" i="23" s="1"/>
  <c r="X105" i="23"/>
  <c r="Y105" i="23" s="1"/>
  <c r="V105" i="23"/>
  <c r="W105" i="23" s="1"/>
  <c r="U105" i="23"/>
  <c r="N145" i="23"/>
  <c r="N57" i="23"/>
  <c r="V58" i="23"/>
  <c r="W58" i="23" s="1"/>
  <c r="O58" i="23"/>
  <c r="V97" i="23"/>
  <c r="W97" i="23" s="1"/>
  <c r="N96" i="23"/>
  <c r="O97" i="23"/>
  <c r="X134" i="23"/>
  <c r="Y134" i="23" s="1"/>
  <c r="U134" i="23"/>
  <c r="O69" i="23"/>
  <c r="O114" i="23"/>
  <c r="V114" i="23"/>
  <c r="W114" i="23" s="1"/>
  <c r="N248" i="23"/>
  <c r="O93" i="23"/>
  <c r="V93" i="23"/>
  <c r="W93" i="23" s="1"/>
  <c r="V25" i="23"/>
  <c r="W25" i="23" s="1"/>
  <c r="O25" i="23"/>
  <c r="U49" i="23"/>
  <c r="X49" i="23"/>
  <c r="Y49" i="23" s="1"/>
  <c r="O111" i="23"/>
  <c r="N110" i="23"/>
  <c r="V33" i="23"/>
  <c r="W33" i="23" s="1"/>
  <c r="U66" i="23"/>
  <c r="T65" i="23"/>
  <c r="X65" i="23" s="1"/>
  <c r="Y65" i="23" s="1"/>
  <c r="X172" i="23"/>
  <c r="Y172" i="23" s="1"/>
  <c r="O66" i="23"/>
  <c r="N65" i="23"/>
  <c r="V66" i="23"/>
  <c r="W66" i="23" s="1"/>
  <c r="I121" i="23"/>
  <c r="X93" i="23"/>
  <c r="Y93" i="23" s="1"/>
  <c r="O49" i="23"/>
  <c r="V49" i="23"/>
  <c r="W49" i="23" s="1"/>
  <c r="V77" i="23"/>
  <c r="W77" i="23" s="1"/>
  <c r="O135" i="23"/>
  <c r="V135" i="23"/>
  <c r="W135" i="23" s="1"/>
  <c r="V182" i="23"/>
  <c r="W182" i="23" s="1"/>
  <c r="O182" i="23"/>
  <c r="U182" i="23"/>
  <c r="U58" i="23"/>
  <c r="T57" i="23"/>
  <c r="X58" i="23"/>
  <c r="Y58" i="23" s="1"/>
  <c r="U249" i="23"/>
  <c r="X249" i="23"/>
  <c r="U266" i="23"/>
  <c r="U169" i="23"/>
  <c r="X108" i="23"/>
  <c r="Y108" i="23" s="1"/>
  <c r="U108" i="23"/>
  <c r="T107" i="23"/>
  <c r="O75" i="23"/>
  <c r="V75" i="23"/>
  <c r="W75" i="23" s="1"/>
  <c r="U256" i="23"/>
  <c r="U158" i="23"/>
  <c r="X158" i="23"/>
  <c r="Y158" i="23" s="1"/>
  <c r="V158" i="23"/>
  <c r="W158" i="23" s="1"/>
  <c r="U85" i="23"/>
  <c r="V91" i="23"/>
  <c r="W91" i="23" s="1"/>
  <c r="U91" i="23"/>
  <c r="O91" i="23"/>
  <c r="U88" i="23"/>
  <c r="X88" i="23"/>
  <c r="Y88" i="23" s="1"/>
  <c r="V28" i="23"/>
  <c r="W28" i="23" s="1"/>
  <c r="U227" i="23"/>
  <c r="U235" i="23"/>
  <c r="O213" i="23"/>
  <c r="V213" i="23"/>
  <c r="W213" i="23" s="1"/>
  <c r="N212" i="23"/>
  <c r="X266" i="23"/>
  <c r="U204" i="23"/>
  <c r="O88" i="23"/>
  <c r="V88" i="23"/>
  <c r="W88" i="23" s="1"/>
  <c r="V107" i="23"/>
  <c r="W107" i="23" s="1"/>
  <c r="O107" i="23"/>
  <c r="X235" i="23"/>
  <c r="T103" i="23"/>
  <c r="V103" i="23" s="1"/>
  <c r="W103" i="23" s="1"/>
  <c r="V72" i="23"/>
  <c r="W72" i="23" s="1"/>
  <c r="O72" i="23"/>
  <c r="T123" i="23"/>
  <c r="V123" i="23" s="1"/>
  <c r="W123" i="23" s="1"/>
  <c r="T110" i="23" l="1"/>
  <c r="V111" i="23"/>
  <c r="W111" i="23" s="1"/>
  <c r="U111" i="23"/>
  <c r="U65" i="23"/>
  <c r="O96" i="23"/>
  <c r="O37" i="23"/>
  <c r="U79" i="23"/>
  <c r="V79" i="23"/>
  <c r="W79" i="23" s="1"/>
  <c r="X79" i="23"/>
  <c r="Y79" i="23" s="1"/>
  <c r="N121" i="23"/>
  <c r="O122" i="23"/>
  <c r="U123" i="23"/>
  <c r="T122" i="23"/>
  <c r="V122" i="23" s="1"/>
  <c r="W122" i="23" s="1"/>
  <c r="X123" i="23"/>
  <c r="Y123" i="23" s="1"/>
  <c r="V10" i="23"/>
  <c r="W10" i="23" s="1"/>
  <c r="O10" i="23"/>
  <c r="U119" i="23"/>
  <c r="X119" i="23"/>
  <c r="Y119" i="23" s="1"/>
  <c r="V119" i="23"/>
  <c r="W119" i="23" s="1"/>
  <c r="X30" i="23"/>
  <c r="Y30" i="23" s="1"/>
  <c r="U30" i="23"/>
  <c r="U107" i="23"/>
  <c r="X107" i="23"/>
  <c r="Y107" i="23" s="1"/>
  <c r="U38" i="23"/>
  <c r="T37" i="23"/>
  <c r="X38" i="23"/>
  <c r="Y38" i="23" s="1"/>
  <c r="V57" i="23"/>
  <c r="W57" i="23" s="1"/>
  <c r="O57" i="23"/>
  <c r="T69" i="23"/>
  <c r="U145" i="23"/>
  <c r="X145" i="23"/>
  <c r="Y145" i="23" s="1"/>
  <c r="X57" i="23"/>
  <c r="Y57" i="23" s="1"/>
  <c r="U57" i="23"/>
  <c r="V145" i="23"/>
  <c r="W145" i="23" s="1"/>
  <c r="O145" i="23"/>
  <c r="U84" i="23"/>
  <c r="X84" i="23"/>
  <c r="Y84" i="23" s="1"/>
  <c r="V248" i="23"/>
  <c r="W248" i="23" s="1"/>
  <c r="O248" i="23"/>
  <c r="U248" i="23"/>
  <c r="O212" i="23"/>
  <c r="V212" i="23"/>
  <c r="W212" i="23" s="1"/>
  <c r="T10" i="23"/>
  <c r="X25" i="23"/>
  <c r="Y25" i="23" s="1"/>
  <c r="U25" i="23"/>
  <c r="X114" i="23"/>
  <c r="Y114" i="23" s="1"/>
  <c r="U114" i="23"/>
  <c r="U212" i="23"/>
  <c r="U103" i="23"/>
  <c r="T96" i="23"/>
  <c r="X103" i="23"/>
  <c r="Y103" i="23" s="1"/>
  <c r="V65" i="23"/>
  <c r="W65" i="23" s="1"/>
  <c r="O65" i="23"/>
  <c r="O110" i="23"/>
  <c r="V110" i="23"/>
  <c r="W110" i="23" s="1"/>
  <c r="V38" i="23"/>
  <c r="W38" i="23" s="1"/>
  <c r="O84" i="23"/>
  <c r="V84" i="23"/>
  <c r="W84" i="23" s="1"/>
  <c r="I8" i="23"/>
  <c r="U110" i="23" l="1"/>
  <c r="X110" i="23"/>
  <c r="Y110" i="23" s="1"/>
  <c r="U37" i="23"/>
  <c r="X37" i="23"/>
  <c r="Y37" i="23" s="1"/>
  <c r="O9" i="23"/>
  <c r="U69" i="23"/>
  <c r="X69" i="23"/>
  <c r="Y69" i="23" s="1"/>
  <c r="V69" i="23"/>
  <c r="W69" i="23" s="1"/>
  <c r="I273" i="23"/>
  <c r="T121" i="23"/>
  <c r="U122" i="23"/>
  <c r="X122" i="23"/>
  <c r="Y122" i="23" s="1"/>
  <c r="U10" i="23"/>
  <c r="T9" i="23"/>
  <c r="X10" i="23"/>
  <c r="Y10" i="23" s="1"/>
  <c r="V37" i="23"/>
  <c r="W37" i="23" s="1"/>
  <c r="U96" i="23"/>
  <c r="X96" i="23"/>
  <c r="Y96" i="23" s="1"/>
  <c r="V96" i="23"/>
  <c r="W96" i="23" s="1"/>
  <c r="O121" i="23"/>
  <c r="V121" i="23"/>
  <c r="W121" i="23" s="1"/>
  <c r="N273" i="23" l="1"/>
  <c r="O8" i="23"/>
  <c r="U9" i="23"/>
  <c r="T8" i="23"/>
  <c r="X9" i="23"/>
  <c r="Y9" i="23" s="1"/>
  <c r="V9" i="23"/>
  <c r="W9" i="23" s="1"/>
  <c r="U121" i="23"/>
  <c r="X121" i="23"/>
  <c r="Y121" i="23" s="1"/>
  <c r="T273" i="23" l="1"/>
  <c r="V273" i="23" s="1"/>
  <c r="W273" i="23" s="1"/>
  <c r="U8" i="23"/>
  <c r="X8" i="23"/>
  <c r="Y8" i="23" s="1"/>
  <c r="V8" i="23"/>
  <c r="W8" i="23" s="1"/>
  <c r="O273" i="23"/>
  <c r="Y274" i="23" l="1"/>
  <c r="U273" i="23"/>
  <c r="X273" i="23"/>
  <c r="Y273" i="23" s="1"/>
  <c r="U12" i="18" l="1"/>
  <c r="U14" i="18"/>
  <c r="U15" i="18"/>
  <c r="U24" i="18"/>
  <c r="U35" i="18"/>
  <c r="U34" i="18"/>
  <c r="U41" i="18"/>
  <c r="U45" i="18" s="1"/>
  <c r="U43" i="18"/>
  <c r="U44" i="18"/>
  <c r="U48" i="18"/>
  <c r="U49" i="18"/>
  <c r="U50" i="18"/>
  <c r="U56" i="18"/>
  <c r="U55" i="18"/>
  <c r="U63" i="18"/>
  <c r="U64" i="18" s="1"/>
  <c r="AF64" i="18" s="1"/>
  <c r="U70" i="18"/>
  <c r="S70" i="18"/>
  <c r="U72" i="18"/>
  <c r="AF72" i="18" s="1"/>
  <c r="V82" i="18"/>
  <c r="U82" i="18"/>
  <c r="U88" i="18"/>
  <c r="U87" i="18"/>
  <c r="V87" i="18"/>
  <c r="V45" i="18"/>
  <c r="V51" i="18"/>
  <c r="V72" i="18"/>
  <c r="AG72" i="18" s="1"/>
  <c r="V64" i="18"/>
  <c r="AG64" i="18" s="1"/>
  <c r="AE64" i="18"/>
  <c r="AE88" i="18"/>
  <c r="S87" i="18"/>
  <c r="AF88" i="18" l="1"/>
  <c r="U32" i="18" l="1"/>
  <c r="I11" i="22" l="1"/>
  <c r="K63" i="21"/>
  <c r="K62" i="21"/>
  <c r="K61" i="21"/>
  <c r="K60" i="21"/>
  <c r="K59" i="21"/>
  <c r="K58" i="21"/>
  <c r="K56" i="21"/>
  <c r="K55" i="21"/>
  <c r="K54" i="21"/>
  <c r="K53" i="21"/>
  <c r="K52" i="21"/>
  <c r="K51" i="21"/>
  <c r="K50" i="21"/>
  <c r="K49" i="21"/>
  <c r="K48" i="21"/>
  <c r="K47" i="21"/>
  <c r="K46" i="21"/>
  <c r="K45" i="21"/>
  <c r="K44" i="21"/>
  <c r="K43" i="21"/>
  <c r="K42" i="21"/>
  <c r="K41" i="21"/>
  <c r="K40" i="21"/>
  <c r="K39" i="21"/>
  <c r="K38" i="21"/>
  <c r="K37" i="21"/>
  <c r="K36" i="21"/>
  <c r="K35" i="21"/>
  <c r="K34" i="21"/>
  <c r="K33" i="21"/>
  <c r="K32" i="21"/>
  <c r="K31" i="21"/>
  <c r="K30" i="21"/>
  <c r="K29" i="21"/>
  <c r="K28" i="21"/>
  <c r="K27" i="21"/>
  <c r="K26" i="21"/>
  <c r="K25" i="21"/>
  <c r="K24" i="21"/>
  <c r="K23" i="21"/>
  <c r="K22" i="21"/>
  <c r="K21" i="21"/>
  <c r="K20" i="21"/>
  <c r="K19" i="21"/>
  <c r="K18" i="21"/>
  <c r="K17" i="21"/>
  <c r="K16" i="21"/>
  <c r="K15" i="21"/>
  <c r="K14" i="21"/>
  <c r="K13" i="21"/>
  <c r="K12" i="21"/>
  <c r="K11" i="21"/>
  <c r="K10" i="21"/>
  <c r="K9" i="21"/>
  <c r="K8" i="21"/>
  <c r="K7" i="21"/>
  <c r="K6" i="21"/>
  <c r="K5" i="21"/>
  <c r="Q69" i="20"/>
  <c r="N69" i="20"/>
  <c r="K69" i="20"/>
  <c r="H69" i="20"/>
  <c r="E69" i="20"/>
  <c r="Q63" i="20"/>
  <c r="N63" i="20"/>
  <c r="N51" i="20" s="1"/>
  <c r="K63" i="20"/>
  <c r="K51" i="20" s="1"/>
  <c r="H63" i="20"/>
  <c r="E63" i="20"/>
  <c r="Q55" i="20"/>
  <c r="N55" i="20"/>
  <c r="K55" i="20"/>
  <c r="H55" i="20"/>
  <c r="E55" i="20"/>
  <c r="Q52" i="20"/>
  <c r="Q51" i="20" s="1"/>
  <c r="N52" i="20"/>
  <c r="K52" i="20"/>
  <c r="H52" i="20"/>
  <c r="E52" i="20"/>
  <c r="E51" i="20" s="1"/>
  <c r="H51" i="20"/>
  <c r="Q47" i="20"/>
  <c r="N47" i="20"/>
  <c r="K47" i="20"/>
  <c r="H47" i="20"/>
  <c r="E47" i="20"/>
  <c r="Q43" i="20"/>
  <c r="N43" i="20"/>
  <c r="K43" i="20"/>
  <c r="H43" i="20"/>
  <c r="E43" i="20"/>
  <c r="Q36" i="20"/>
  <c r="N36" i="20"/>
  <c r="K36" i="20"/>
  <c r="H36" i="20"/>
  <c r="E36" i="20"/>
  <c r="Q28" i="20"/>
  <c r="N28" i="20"/>
  <c r="K28" i="20"/>
  <c r="H28" i="20"/>
  <c r="E28" i="20"/>
  <c r="Q24" i="20"/>
  <c r="N24" i="20"/>
  <c r="K24" i="20"/>
  <c r="H24" i="20"/>
  <c r="E24" i="20"/>
  <c r="Q20" i="20"/>
  <c r="N20" i="20"/>
  <c r="K20" i="20"/>
  <c r="H20" i="20"/>
  <c r="E20" i="20"/>
  <c r="E10" i="20" s="1"/>
  <c r="Q16" i="20"/>
  <c r="N16" i="20"/>
  <c r="K16" i="20"/>
  <c r="H16" i="20"/>
  <c r="E16" i="20"/>
  <c r="Q11" i="20"/>
  <c r="Q10" i="20" s="1"/>
  <c r="Q9" i="20" s="1"/>
  <c r="N11" i="20"/>
  <c r="N10" i="20" s="1"/>
  <c r="N9" i="20" s="1"/>
  <c r="K11" i="20"/>
  <c r="K10" i="20" s="1"/>
  <c r="H11" i="20"/>
  <c r="H10" i="20" s="1"/>
  <c r="H9" i="20" s="1"/>
  <c r="E11" i="20"/>
  <c r="K9" i="20" l="1"/>
  <c r="E9" i="20"/>
  <c r="S55" i="18" l="1"/>
  <c r="S54" i="18"/>
  <c r="U61" i="18"/>
  <c r="S85" i="18"/>
  <c r="S56" i="18"/>
  <c r="S49" i="18"/>
  <c r="J45" i="18"/>
  <c r="S33" i="18"/>
  <c r="U33" i="18" s="1"/>
  <c r="S32" i="18"/>
  <c r="J88" i="18" l="1"/>
  <c r="T87" i="18"/>
  <c r="T86" i="18"/>
  <c r="V86" i="18" s="1"/>
  <c r="S86" i="18"/>
  <c r="U86" i="18" s="1"/>
  <c r="V85" i="18"/>
  <c r="V88" i="18" s="1"/>
  <c r="AG88" i="18" s="1"/>
  <c r="U85" i="18"/>
  <c r="T78" i="18"/>
  <c r="V78" i="18" s="1"/>
  <c r="S78" i="18"/>
  <c r="U78" i="18" s="1"/>
  <c r="T77" i="18"/>
  <c r="V77" i="18" s="1"/>
  <c r="S77" i="18"/>
  <c r="U77" i="18" s="1"/>
  <c r="T76" i="18"/>
  <c r="V76" i="18" s="1"/>
  <c r="S76" i="18"/>
  <c r="U76" i="18" s="1"/>
  <c r="J64" i="18"/>
  <c r="T63" i="18"/>
  <c r="V63" i="18" s="1"/>
  <c r="S63" i="18"/>
  <c r="T62" i="18"/>
  <c r="V62" i="18" s="1"/>
  <c r="S62" i="18"/>
  <c r="U62" i="18" s="1"/>
  <c r="U89" i="18" l="1"/>
  <c r="V89" i="18" l="1"/>
  <c r="T43" i="18"/>
  <c r="V43" i="18" s="1"/>
  <c r="S43" i="18"/>
  <c r="W84" i="18"/>
  <c r="Y84" i="18" s="1"/>
  <c r="U84" i="18"/>
  <c r="J82" i="18"/>
  <c r="T81" i="18"/>
  <c r="V81" i="18" s="1"/>
  <c r="S81" i="18"/>
  <c r="U81" i="18" s="1"/>
  <c r="T80" i="18"/>
  <c r="V80" i="18" s="1"/>
  <c r="S80" i="18"/>
  <c r="U80" i="18" s="1"/>
  <c r="T79" i="18"/>
  <c r="V79" i="18" s="1"/>
  <c r="S79" i="18"/>
  <c r="U79" i="18" s="1"/>
  <c r="T75" i="18"/>
  <c r="V75" i="18" s="1"/>
  <c r="S75" i="18"/>
  <c r="U75" i="18" s="1"/>
  <c r="W74" i="18"/>
  <c r="Y74" i="18" s="1"/>
  <c r="U74" i="18"/>
  <c r="T74" i="18"/>
  <c r="V74" i="18" s="1"/>
  <c r="J72" i="18"/>
  <c r="T71" i="18"/>
  <c r="V71" i="18" s="1"/>
  <c r="S71" i="18"/>
  <c r="U71" i="18" s="1"/>
  <c r="T70" i="18"/>
  <c r="V70" i="18" s="1"/>
  <c r="T69" i="18"/>
  <c r="V69" i="18" s="1"/>
  <c r="S69" i="18"/>
  <c r="U69" i="18" s="1"/>
  <c r="T68" i="18"/>
  <c r="S68" i="18"/>
  <c r="U68" i="18" s="1"/>
  <c r="T67" i="18"/>
  <c r="V67" i="18" s="1"/>
  <c r="S67" i="18"/>
  <c r="U67" i="18" s="1"/>
  <c r="W66" i="18"/>
  <c r="Y66" i="18" s="1"/>
  <c r="U66" i="18"/>
  <c r="W61" i="18"/>
  <c r="Y61" i="18" s="1"/>
  <c r="J57" i="18"/>
  <c r="AE57" i="18" s="1"/>
  <c r="U57" i="18"/>
  <c r="T56" i="18"/>
  <c r="V56" i="18" s="1"/>
  <c r="T55" i="18"/>
  <c r="V55" i="18" s="1"/>
  <c r="T54" i="18"/>
  <c r="V54" i="18" s="1"/>
  <c r="W53" i="18"/>
  <c r="Y53" i="18" s="1"/>
  <c r="U53" i="18"/>
  <c r="J51" i="18"/>
  <c r="AE51" i="18" s="1"/>
  <c r="T50" i="18"/>
  <c r="V50" i="18" s="1"/>
  <c r="T49" i="18"/>
  <c r="V49" i="18" s="1"/>
  <c r="T48" i="18"/>
  <c r="V48" i="18" s="1"/>
  <c r="S48" i="18"/>
  <c r="U51" i="18" s="1"/>
  <c r="W47" i="18"/>
  <c r="Y47" i="18" s="1"/>
  <c r="U47" i="18"/>
  <c r="T44" i="18"/>
  <c r="V44" i="18" s="1"/>
  <c r="S44" i="18"/>
  <c r="T42" i="18"/>
  <c r="V42" i="18" s="1"/>
  <c r="S42" i="18"/>
  <c r="U42" i="18" s="1"/>
  <c r="T41" i="18"/>
  <c r="V41" i="18" s="1"/>
  <c r="S41" i="18"/>
  <c r="W40" i="18"/>
  <c r="Y40" i="18" s="1"/>
  <c r="U40" i="18"/>
  <c r="J38" i="18"/>
  <c r="T37" i="18"/>
  <c r="V37" i="18" s="1"/>
  <c r="S37" i="18"/>
  <c r="U37" i="18" s="1"/>
  <c r="T36" i="18"/>
  <c r="V36" i="18" s="1"/>
  <c r="S36" i="18"/>
  <c r="U36" i="18" s="1"/>
  <c r="T35" i="18"/>
  <c r="V35" i="18" s="1"/>
  <c r="S35" i="18"/>
  <c r="T34" i="18"/>
  <c r="V34" i="18" s="1"/>
  <c r="S34" i="18"/>
  <c r="T33" i="18"/>
  <c r="T32" i="18"/>
  <c r="V32" i="18" s="1"/>
  <c r="W31" i="18"/>
  <c r="Y31" i="18" s="1"/>
  <c r="U31" i="18"/>
  <c r="J29" i="18"/>
  <c r="T28" i="18"/>
  <c r="V28" i="18" s="1"/>
  <c r="S28" i="18"/>
  <c r="U28" i="18" s="1"/>
  <c r="W27" i="18"/>
  <c r="Y27" i="18" s="1"/>
  <c r="U27" i="18"/>
  <c r="J25" i="18"/>
  <c r="T24" i="18"/>
  <c r="V24" i="18" s="1"/>
  <c r="S24" i="18"/>
  <c r="W23" i="18"/>
  <c r="Y23" i="18" s="1"/>
  <c r="U23" i="18"/>
  <c r="J21" i="18"/>
  <c r="AE21" i="18" s="1"/>
  <c r="T20" i="18"/>
  <c r="V20" i="18" s="1"/>
  <c r="S20" i="18"/>
  <c r="T19" i="18"/>
  <c r="V19" i="18" s="1"/>
  <c r="W18" i="18"/>
  <c r="Y18" i="18" s="1"/>
  <c r="U18" i="18"/>
  <c r="J16" i="18"/>
  <c r="T15" i="18"/>
  <c r="V15" i="18" s="1"/>
  <c r="S15" i="18"/>
  <c r="T14" i="18"/>
  <c r="V14" i="18" s="1"/>
  <c r="S14" i="18"/>
  <c r="T13" i="18"/>
  <c r="V13" i="18" s="1"/>
  <c r="S13" i="18"/>
  <c r="U13" i="18" s="1"/>
  <c r="T12" i="18"/>
  <c r="V12" i="18" s="1"/>
  <c r="S12" i="18"/>
  <c r="W11" i="18"/>
  <c r="Y11" i="18" s="1"/>
  <c r="U11" i="18"/>
  <c r="V16" i="18" l="1"/>
  <c r="V17" i="18" s="1"/>
  <c r="U16" i="18"/>
  <c r="U17" i="18" s="1"/>
  <c r="U46" i="18"/>
  <c r="AG45" i="18"/>
  <c r="AE16" i="18"/>
  <c r="T47" i="18"/>
  <c r="X47" i="18" s="1"/>
  <c r="Z47" i="18" s="1"/>
  <c r="T18" i="18"/>
  <c r="X18" i="18" s="1"/>
  <c r="Z18" i="18" s="1"/>
  <c r="V29" i="18"/>
  <c r="V30" i="18" s="1"/>
  <c r="T31" i="18"/>
  <c r="V31" i="18" s="1"/>
  <c r="V33" i="18"/>
  <c r="V38" i="18" s="1"/>
  <c r="V39" i="18" s="1"/>
  <c r="T61" i="18"/>
  <c r="X61" i="18" s="1"/>
  <c r="Z61" i="18" s="1"/>
  <c r="V57" i="18"/>
  <c r="AG57" i="18" s="1"/>
  <c r="U52" i="18"/>
  <c r="T66" i="18"/>
  <c r="V66" i="18" s="1"/>
  <c r="V21" i="18"/>
  <c r="T84" i="18"/>
  <c r="V84" i="18" s="1"/>
  <c r="T11" i="18"/>
  <c r="V11" i="18" s="1"/>
  <c r="T27" i="18"/>
  <c r="V27" i="18" s="1"/>
  <c r="T40" i="18"/>
  <c r="X40" i="18" s="1"/>
  <c r="Z40" i="18" s="1"/>
  <c r="X74" i="18"/>
  <c r="Z74" i="18" s="1"/>
  <c r="U29" i="18"/>
  <c r="U30" i="18" s="1"/>
  <c r="V25" i="18"/>
  <c r="V26" i="18" s="1"/>
  <c r="U25" i="18"/>
  <c r="U26" i="18" s="1"/>
  <c r="U21" i="18"/>
  <c r="AF21" i="18" s="1"/>
  <c r="U38" i="18"/>
  <c r="U39" i="18" s="1"/>
  <c r="U83" i="18"/>
  <c r="V52" i="18"/>
  <c r="AE25" i="18"/>
  <c r="AE82" i="18"/>
  <c r="AE38" i="18"/>
  <c r="T23" i="18"/>
  <c r="AE29" i="18"/>
  <c r="T53" i="18"/>
  <c r="AE45" i="18"/>
  <c r="V68" i="18"/>
  <c r="V73" i="18" s="1"/>
  <c r="AE72" i="18"/>
  <c r="X66" i="18" l="1"/>
  <c r="Z66" i="18" s="1"/>
  <c r="V65" i="18"/>
  <c r="AF16" i="18"/>
  <c r="U58" i="18"/>
  <c r="AF57" i="18"/>
  <c r="V47" i="18"/>
  <c r="AG38" i="18"/>
  <c r="AG29" i="18"/>
  <c r="X27" i="18"/>
  <c r="Z27" i="18" s="1"/>
  <c r="AF25" i="18"/>
  <c r="V18" i="18"/>
  <c r="U65" i="18"/>
  <c r="X31" i="18"/>
  <c r="Z31" i="18" s="1"/>
  <c r="V61" i="18"/>
  <c r="AF51" i="18"/>
  <c r="V58" i="18"/>
  <c r="AG51" i="18"/>
  <c r="V46" i="18"/>
  <c r="AF45" i="18"/>
  <c r="V40" i="18"/>
  <c r="V22" i="18"/>
  <c r="AG21" i="18"/>
  <c r="X84" i="18"/>
  <c r="Z84" i="18" s="1"/>
  <c r="AG16" i="18"/>
  <c r="X11" i="18"/>
  <c r="Z11" i="18" s="1"/>
  <c r="AF29" i="18"/>
  <c r="AE90" i="18"/>
  <c r="I90" i="18" s="1"/>
  <c r="AG25" i="18"/>
  <c r="U22" i="18"/>
  <c r="X53" i="18"/>
  <c r="Z53" i="18" s="1"/>
  <c r="V53" i="18"/>
  <c r="AF82" i="18"/>
  <c r="V83" i="18"/>
  <c r="AG82" i="18"/>
  <c r="AG90" i="18" s="1"/>
  <c r="V90" i="18" s="1"/>
  <c r="U73" i="18"/>
  <c r="V23" i="18"/>
  <c r="X23" i="18"/>
  <c r="Z23" i="18" s="1"/>
  <c r="AF38" i="18"/>
  <c r="AF90" i="18" l="1"/>
  <c r="U90" i="18" s="1"/>
  <c r="U91" i="18" s="1"/>
  <c r="D14" i="15"/>
  <c r="V91" i="18" l="1"/>
  <c r="J19" i="8" l="1"/>
</calcChain>
</file>

<file path=xl/comments1.xml><?xml version="1.0" encoding="utf-8"?>
<comments xmlns="http://schemas.openxmlformats.org/spreadsheetml/2006/main">
  <authors>
    <author>LENOVO</author>
  </authors>
  <commentList>
    <comment ref="I10" authorId="0" shapeId="0">
      <text>
        <r>
          <rPr>
            <b/>
            <sz val="9"/>
            <color indexed="81"/>
            <rFont val="Tahoma"/>
            <family val="2"/>
          </rPr>
          <t>LENOVO:</t>
        </r>
        <r>
          <rPr>
            <sz val="9"/>
            <color indexed="81"/>
            <rFont val="Tahoma"/>
            <family val="2"/>
          </rPr>
          <t xml:space="preserve">
Penyusunan Dokumen KRB</t>
        </r>
      </text>
    </comment>
    <comment ref="I12" authorId="0" shapeId="0">
      <text>
        <r>
          <rPr>
            <b/>
            <sz val="9"/>
            <color indexed="81"/>
            <rFont val="Tahoma"/>
            <family val="2"/>
          </rPr>
          <t>LENOVO:</t>
        </r>
        <r>
          <rPr>
            <sz val="9"/>
            <color indexed="81"/>
            <rFont val="Tahoma"/>
            <family val="2"/>
          </rPr>
          <t xml:space="preserve">
Penyusunan Dokumen RPB</t>
        </r>
      </text>
    </comment>
    <comment ref="I16" authorId="0" shapeId="0">
      <text>
        <r>
          <rPr>
            <b/>
            <sz val="9"/>
            <color indexed="81"/>
            <rFont val="Tahoma"/>
            <family val="2"/>
          </rPr>
          <t>LENOVO:</t>
        </r>
        <r>
          <rPr>
            <sz val="9"/>
            <color indexed="81"/>
            <rFont val="Tahoma"/>
            <family val="2"/>
          </rPr>
          <t xml:space="preserve">
Penyusunan Renkon Longsor</t>
        </r>
      </text>
    </comment>
  </commentList>
</comments>
</file>

<file path=xl/comments2.xml><?xml version="1.0" encoding="utf-8"?>
<comments xmlns="http://schemas.openxmlformats.org/spreadsheetml/2006/main">
  <authors>
    <author>LENOVO</author>
    <author>USER</author>
  </authors>
  <commentList>
    <comment ref="M12" authorId="0" shapeId="0">
      <text>
        <r>
          <rPr>
            <b/>
            <sz val="9"/>
            <color indexed="81"/>
            <rFont val="Tahoma"/>
            <family val="2"/>
          </rPr>
          <t>LENOVO:</t>
        </r>
        <r>
          <rPr>
            <sz val="9"/>
            <color indexed="81"/>
            <rFont val="Tahoma"/>
            <family val="2"/>
          </rPr>
          <t xml:space="preserve">
Dokumen Renja Tahun 2024</t>
        </r>
      </text>
    </comment>
    <comment ref="K14" authorId="0" shapeId="0">
      <text>
        <r>
          <rPr>
            <b/>
            <sz val="9"/>
            <color indexed="81"/>
            <rFont val="Tahoma"/>
            <family val="2"/>
          </rPr>
          <t>LENOVO:</t>
        </r>
        <r>
          <rPr>
            <sz val="9"/>
            <color indexed="81"/>
            <rFont val="Tahoma"/>
            <family val="2"/>
          </rPr>
          <t xml:space="preserve">
Dok DPA-SKPD Tahun 2023</t>
        </r>
      </text>
    </comment>
    <comment ref="K15" authorId="0" shapeId="0">
      <text>
        <r>
          <rPr>
            <b/>
            <sz val="9"/>
            <color indexed="81"/>
            <rFont val="Tahoma"/>
            <family val="2"/>
          </rPr>
          <t>LENOVO:</t>
        </r>
        <r>
          <rPr>
            <sz val="9"/>
            <color indexed="81"/>
            <rFont val="Tahoma"/>
            <family val="2"/>
          </rPr>
          <t xml:space="preserve">
Lakip, LKPJ, Laporan Evaluasi Kinerja TW 4 TA. 2022 dan Laporan Evaluasi RKPD TW 1 TA. 2023</t>
        </r>
      </text>
    </comment>
    <comment ref="M15" authorId="0" shapeId="0">
      <text>
        <r>
          <rPr>
            <b/>
            <sz val="9"/>
            <color indexed="81"/>
            <rFont val="Tahoma"/>
            <family val="2"/>
          </rPr>
          <t>LENOVO:</t>
        </r>
        <r>
          <rPr>
            <sz val="9"/>
            <color indexed="81"/>
            <rFont val="Tahoma"/>
            <family val="2"/>
          </rPr>
          <t xml:space="preserve">
Laporan Evaluasi RKPD TW I TA.2023 dan Laporan Evaluasi Kinerja TW 1 TA. 2023</t>
        </r>
      </text>
    </comment>
    <comment ref="K20" authorId="0" shapeId="0">
      <text>
        <r>
          <rPr>
            <b/>
            <sz val="9"/>
            <color indexed="81"/>
            <rFont val="Tahoma"/>
            <family val="2"/>
          </rPr>
          <t>LENOVO:</t>
        </r>
        <r>
          <rPr>
            <sz val="9"/>
            <color indexed="81"/>
            <rFont val="Tahoma"/>
            <family val="2"/>
          </rPr>
          <t xml:space="preserve">
Laporan Keuangan Tahun 2022 1 dok, Laporan Triwulanan 1 dok, Laporan Bulanan Bendahara 3 dok</t>
        </r>
      </text>
    </comment>
    <comment ref="M20" authorId="0" shapeId="0">
      <text>
        <r>
          <rPr>
            <b/>
            <sz val="9"/>
            <color indexed="81"/>
            <rFont val="Tahoma"/>
            <family val="2"/>
          </rPr>
          <t>LENOVO:</t>
        </r>
        <r>
          <rPr>
            <sz val="9"/>
            <color indexed="81"/>
            <rFont val="Tahoma"/>
            <family val="2"/>
          </rPr>
          <t xml:space="preserve">
Laporan Triwulanan I dok, Laporan Bulanan Bendahara 3 dok dan Laporan semester 1 dok</t>
        </r>
      </text>
    </comment>
    <comment ref="O20" authorId="0" shapeId="0">
      <text>
        <r>
          <rPr>
            <b/>
            <sz val="9"/>
            <color indexed="81"/>
            <rFont val="Tahoma"/>
            <family val="2"/>
          </rPr>
          <t>LENOVO:</t>
        </r>
        <r>
          <rPr>
            <sz val="9"/>
            <color indexed="81"/>
            <rFont val="Tahoma"/>
            <family val="2"/>
          </rPr>
          <t xml:space="preserve">
Lap bulanan bendahara 3 dokumen, laporan semesteran 1 dokumen</t>
        </r>
      </text>
    </comment>
    <comment ref="K28" authorId="0" shapeId="0">
      <text>
        <r>
          <rPr>
            <b/>
            <sz val="9"/>
            <color indexed="81"/>
            <rFont val="Tahoma"/>
            <family val="2"/>
          </rPr>
          <t>LENOVO:</t>
        </r>
        <r>
          <rPr>
            <sz val="9"/>
            <color indexed="81"/>
            <rFont val="Tahoma"/>
            <family val="2"/>
          </rPr>
          <t xml:space="preserve">
Workshop Aplikasi SIRUP 1 org, Aplikasi Gaji 2 org, Pelatihan Water Rescue 1 orang, Bimtek PRB 2 orang</t>
        </r>
      </text>
    </comment>
    <comment ref="M28" authorId="0" shapeId="0">
      <text>
        <r>
          <rPr>
            <b/>
            <sz val="9"/>
            <color indexed="81"/>
            <rFont val="Tahoma"/>
            <family val="2"/>
          </rPr>
          <t>LENOVO:</t>
        </r>
        <r>
          <rPr>
            <sz val="9"/>
            <color indexed="81"/>
            <rFont val="Tahoma"/>
            <family val="2"/>
          </rPr>
          <t xml:space="preserve">
Pelatihan pusdalops 3 orang</t>
        </r>
      </text>
    </comment>
    <comment ref="K33" authorId="0" shapeId="0">
      <text>
        <r>
          <rPr>
            <b/>
            <sz val="9"/>
            <color indexed="81"/>
            <rFont val="Tahoma"/>
            <family val="2"/>
          </rPr>
          <t>LENOVO:</t>
        </r>
        <r>
          <rPr>
            <sz val="9"/>
            <color indexed="81"/>
            <rFont val="Tahoma"/>
            <family val="2"/>
          </rPr>
          <t xml:space="preserve">
BBM operasional, alat &amp; bahan pembersih 10 jenis (sendok sampah, stella matic, sabun cair, Tissu refil, Harpic, Pembersih lantai, keranjang sampah, alat pel, sapu, stella refil)</t>
        </r>
      </text>
    </comment>
    <comment ref="K34" authorId="0" shapeId="0">
      <text>
        <r>
          <rPr>
            <b/>
            <sz val="9"/>
            <color indexed="81"/>
            <rFont val="Tahoma"/>
            <family val="2"/>
          </rPr>
          <t>LENOVO:</t>
        </r>
        <r>
          <rPr>
            <sz val="9"/>
            <color indexed="81"/>
            <rFont val="Tahoma"/>
            <family val="2"/>
          </rPr>
          <t xml:space="preserve">
cetak, FC dan jilid</t>
        </r>
      </text>
    </comment>
    <comment ref="K35" authorId="0" shapeId="0">
      <text>
        <r>
          <rPr>
            <b/>
            <sz val="9"/>
            <color indexed="81"/>
            <rFont val="Tahoma"/>
            <family val="2"/>
          </rPr>
          <t>LENOVO:</t>
        </r>
        <r>
          <rPr>
            <sz val="9"/>
            <color indexed="81"/>
            <rFont val="Tahoma"/>
            <family val="2"/>
          </rPr>
          <t xml:space="preserve">
koran lokal 3 expl, koran nasional 3 expl, koran regional 9 expl</t>
        </r>
      </text>
    </comment>
    <comment ref="M35" authorId="0" shapeId="0">
      <text>
        <r>
          <rPr>
            <b/>
            <sz val="9"/>
            <color indexed="81"/>
            <rFont val="Tahoma"/>
            <family val="2"/>
          </rPr>
          <t>LENOVO:</t>
        </r>
        <r>
          <rPr>
            <sz val="9"/>
            <color indexed="81"/>
            <rFont val="Tahoma"/>
            <family val="2"/>
          </rPr>
          <t xml:space="preserve">
koran lokal 3 expl, koran nasional 3 expl, koran regional 9 expl</t>
        </r>
      </text>
    </comment>
    <comment ref="K36" authorId="0" shapeId="0">
      <text>
        <r>
          <rPr>
            <b/>
            <sz val="9"/>
            <color indexed="81"/>
            <rFont val="Tahoma"/>
            <family val="2"/>
          </rPr>
          <t>LENOVO:</t>
        </r>
        <r>
          <rPr>
            <sz val="9"/>
            <color indexed="81"/>
            <rFont val="Tahoma"/>
            <family val="2"/>
          </rPr>
          <t xml:space="preserve">
Tamu dari Tim Verifikasi RR BNPB, BPBD Prov dan Tim dari OPD terkait 25 org, Tim Logistik dari BPBD Prov 4 org, Tim dari BMKG 3 org, Tamu dari OPD terkait
</t>
        </r>
      </text>
    </comment>
    <comment ref="K37" authorId="0" shapeId="0">
      <text>
        <r>
          <rPr>
            <b/>
            <sz val="9"/>
            <color indexed="81"/>
            <rFont val="Tahoma"/>
            <family val="2"/>
          </rPr>
          <t>LENOVO:</t>
        </r>
        <r>
          <rPr>
            <sz val="9"/>
            <color indexed="81"/>
            <rFont val="Tahoma"/>
            <family val="2"/>
          </rPr>
          <t xml:space="preserve">
perjadin luar daerah dalam propinsi 15 surat tugas. Luar daerah luar propinsi 3 surat tugas</t>
        </r>
      </text>
    </comment>
    <comment ref="M41" authorId="0" shapeId="0">
      <text>
        <r>
          <rPr>
            <b/>
            <sz val="9"/>
            <color indexed="81"/>
            <rFont val="Tahoma"/>
            <family val="2"/>
          </rPr>
          <t>LENOVO:</t>
        </r>
        <r>
          <rPr>
            <sz val="9"/>
            <color indexed="81"/>
            <rFont val="Tahoma"/>
            <family val="2"/>
          </rPr>
          <t xml:space="preserve">
Kursi staf 2 unit, kursi eselon IV 1 unit dan kursi eselon III 1 unit</t>
        </r>
      </text>
    </comment>
    <comment ref="M44" authorId="0" shapeId="0">
      <text>
        <r>
          <rPr>
            <b/>
            <sz val="9"/>
            <color indexed="81"/>
            <rFont val="Tahoma"/>
            <family val="2"/>
          </rPr>
          <t>LENOVO:</t>
        </r>
        <r>
          <rPr>
            <sz val="9"/>
            <color indexed="81"/>
            <rFont val="Tahoma"/>
            <family val="2"/>
          </rPr>
          <t xml:space="preserve">
AC 2 unit dan TV Monitor 1 unit</t>
        </r>
      </text>
    </comment>
    <comment ref="K48" authorId="0" shapeId="0">
      <text>
        <r>
          <rPr>
            <b/>
            <sz val="9"/>
            <color indexed="81"/>
            <rFont val="Tahoma"/>
            <family val="2"/>
          </rPr>
          <t>LENOVO:</t>
        </r>
        <r>
          <rPr>
            <sz val="9"/>
            <color indexed="81"/>
            <rFont val="Tahoma"/>
            <family val="2"/>
          </rPr>
          <t xml:space="preserve">
Surat keluar 25 dan surat masuk 49</t>
        </r>
      </text>
    </comment>
    <comment ref="M48" authorId="0" shapeId="0">
      <text>
        <r>
          <rPr>
            <b/>
            <sz val="9"/>
            <color indexed="81"/>
            <rFont val="Tahoma"/>
            <family val="2"/>
          </rPr>
          <t>LENOVO:</t>
        </r>
        <r>
          <rPr>
            <sz val="9"/>
            <color indexed="81"/>
            <rFont val="Tahoma"/>
            <family val="2"/>
          </rPr>
          <t xml:space="preserve">
surat masuk 42 dan surat keluar 24</t>
        </r>
      </text>
    </comment>
    <comment ref="K49" authorId="0" shapeId="0">
      <text>
        <r>
          <rPr>
            <b/>
            <sz val="9"/>
            <color indexed="81"/>
            <rFont val="Tahoma"/>
            <family val="2"/>
          </rPr>
          <t>LENOVO:</t>
        </r>
        <r>
          <rPr>
            <sz val="9"/>
            <color indexed="81"/>
            <rFont val="Tahoma"/>
            <family val="2"/>
          </rPr>
          <t xml:space="preserve">
Listrik BPBD 3 rek, Token Listrik 1 rek, Air kantor 3 rek, kartu halo 2 rek</t>
        </r>
      </text>
    </comment>
    <comment ref="M49" authorId="0" shapeId="0">
      <text>
        <r>
          <rPr>
            <b/>
            <sz val="9"/>
            <color indexed="81"/>
            <rFont val="Tahoma"/>
            <family val="2"/>
          </rPr>
          <t>LENOVO:K</t>
        </r>
        <r>
          <rPr>
            <sz val="9"/>
            <color indexed="81"/>
            <rFont val="Tahoma"/>
            <family val="2"/>
          </rPr>
          <t>artu halo 3 rek, air kantor 3 rek, listrik 4 rek</t>
        </r>
      </text>
    </comment>
    <comment ref="K50" authorId="0" shapeId="0">
      <text>
        <r>
          <rPr>
            <b/>
            <sz val="9"/>
            <color indexed="81"/>
            <rFont val="Tahoma"/>
            <family val="2"/>
          </rPr>
          <t>LENOVO:</t>
        </r>
        <r>
          <rPr>
            <sz val="9"/>
            <color indexed="81"/>
            <rFont val="Tahoma"/>
            <family val="2"/>
          </rPr>
          <t xml:space="preserve">
upah jasa cleaning service 1 org bulan Januari dan Februari</t>
        </r>
      </text>
    </comment>
    <comment ref="M50" authorId="0" shapeId="0">
      <text>
        <r>
          <rPr>
            <b/>
            <sz val="9"/>
            <color indexed="81"/>
            <rFont val="Tahoma"/>
            <family val="2"/>
          </rPr>
          <t>LENOVO:</t>
        </r>
        <r>
          <rPr>
            <sz val="9"/>
            <color indexed="81"/>
            <rFont val="Tahoma"/>
            <family val="2"/>
          </rPr>
          <t xml:space="preserve">
Pembayaran honor upah jasa cleaning service 3 bulan dan honor pejabat pengadaan 3 bulan</t>
        </r>
      </text>
    </comment>
    <comment ref="K54" authorId="1" shapeId="0">
      <text>
        <r>
          <rPr>
            <b/>
            <sz val="9"/>
            <color indexed="81"/>
            <rFont val="Tahoma"/>
            <family val="2"/>
          </rPr>
          <t>USER:</t>
        </r>
        <r>
          <rPr>
            <sz val="9"/>
            <color indexed="81"/>
            <rFont val="Tahoma"/>
            <family val="2"/>
          </rPr>
          <t xml:space="preserve">
Rescue 1 unit, Hilux 1 unit, Truk Serbaguna 1 unit, Mobil Operasional TRC 1 unit dan motor 5 unit </t>
        </r>
      </text>
    </comment>
    <comment ref="M54" authorId="1" shapeId="0">
      <text>
        <r>
          <rPr>
            <b/>
            <sz val="9"/>
            <color indexed="81"/>
            <rFont val="Tahoma"/>
            <family val="2"/>
          </rPr>
          <t>USER:</t>
        </r>
        <r>
          <rPr>
            <sz val="9"/>
            <color indexed="81"/>
            <rFont val="Tahoma"/>
            <family val="2"/>
          </rPr>
          <t xml:space="preserve">
Rescue 1 unit, Hilux 1 unit, Truk Serbaguna 1 unit, Mobil Operasional TRC 1 unit dan motor 6 unit </t>
        </r>
      </text>
    </comment>
    <comment ref="K55" authorId="1" shapeId="0">
      <text>
        <r>
          <rPr>
            <b/>
            <sz val="9"/>
            <color indexed="81"/>
            <rFont val="Tahoma"/>
            <family val="2"/>
          </rPr>
          <t>USER:</t>
        </r>
        <r>
          <rPr>
            <sz val="9"/>
            <color indexed="81"/>
            <rFont val="Tahoma"/>
            <family val="2"/>
          </rPr>
          <t xml:space="preserve">
AC 1 unit, printer 3 unit, Laptop 2 unit, chainsaw 4 unit, Mesin Babat 1 unit, genset 2 unit</t>
        </r>
      </text>
    </comment>
  </commentList>
</comments>
</file>

<file path=xl/comments3.xml><?xml version="1.0" encoding="utf-8"?>
<comments xmlns="http://schemas.openxmlformats.org/spreadsheetml/2006/main">
  <authors>
    <author>USER</author>
  </authors>
  <commentList>
    <comment ref="E17" authorId="0" shapeId="0">
      <text>
        <r>
          <rPr>
            <b/>
            <sz val="9"/>
            <color indexed="81"/>
            <rFont val="Tahoma"/>
            <family val="2"/>
          </rPr>
          <t>USER:</t>
        </r>
        <r>
          <rPr>
            <sz val="9"/>
            <color indexed="81"/>
            <rFont val="Tahoma"/>
            <family val="2"/>
          </rPr>
          <t xml:space="preserve">
2.337.627.000</t>
        </r>
      </text>
    </comment>
    <comment ref="H17" authorId="0" shapeId="0">
      <text>
        <r>
          <rPr>
            <b/>
            <sz val="9"/>
            <color indexed="81"/>
            <rFont val="Tahoma"/>
            <family val="2"/>
          </rPr>
          <t>USER:</t>
        </r>
        <r>
          <rPr>
            <sz val="9"/>
            <color indexed="81"/>
            <rFont val="Tahoma"/>
            <family val="2"/>
          </rPr>
          <t xml:space="preserve">
2.337.627.000</t>
        </r>
      </text>
    </comment>
  </commentList>
</comments>
</file>

<file path=xl/comments4.xml><?xml version="1.0" encoding="utf-8"?>
<comments xmlns="http://schemas.openxmlformats.org/spreadsheetml/2006/main">
  <authors>
    <author>LENOVO</author>
  </authors>
  <commentList>
    <comment ref="E11" authorId="0" shapeId="0">
      <text>
        <r>
          <rPr>
            <b/>
            <sz val="9"/>
            <color indexed="81"/>
            <rFont val="Tahoma"/>
            <family val="2"/>
          </rPr>
          <t>LENOVO:</t>
        </r>
        <r>
          <rPr>
            <sz val="9"/>
            <color indexed="81"/>
            <rFont val="Tahoma"/>
            <family val="2"/>
          </rPr>
          <t xml:space="preserve">
Nilai IRB yang digunakan adalah masih penilaian 2022, untuk tahun 2023 diupdate pada akhir tahun 2023 (Desember) setelah Penilaian IKD</t>
        </r>
      </text>
    </comment>
    <comment ref="E12" authorId="0" shapeId="0">
      <text>
        <r>
          <rPr>
            <b/>
            <sz val="9"/>
            <color indexed="81"/>
            <rFont val="Tahoma"/>
            <family val="2"/>
          </rPr>
          <t>LENOVO:</t>
        </r>
        <r>
          <rPr>
            <sz val="9"/>
            <color indexed="81"/>
            <rFont val="Tahoma"/>
            <family val="2"/>
          </rPr>
          <t xml:space="preserve">
200.955 = 200.955 dibagi 302.039 dikali 100 = 66,53%</t>
        </r>
      </text>
    </comment>
    <comment ref="G12" authorId="0" shapeId="0">
      <text>
        <r>
          <rPr>
            <b/>
            <sz val="9"/>
            <color indexed="81"/>
            <rFont val="Tahoma"/>
            <family val="2"/>
          </rPr>
          <t>LENOVO:</t>
        </r>
        <r>
          <rPr>
            <sz val="9"/>
            <color indexed="81"/>
            <rFont val="Tahoma"/>
            <family val="2"/>
          </rPr>
          <t xml:space="preserve">
Penyampaian informasi melalui Pusdalops 6.002 org merupakan bagian dari jumlah 200.955 jiwa penduduk di 8 kecamatan</t>
        </r>
      </text>
    </comment>
    <comment ref="E13" authorId="0" shapeId="0">
      <text>
        <r>
          <rPr>
            <b/>
            <sz val="9"/>
            <color indexed="81"/>
            <rFont val="Tahoma"/>
            <family val="2"/>
          </rPr>
          <t>LENOVO:</t>
        </r>
        <r>
          <rPr>
            <sz val="9"/>
            <color indexed="81"/>
            <rFont val="Tahoma"/>
            <family val="2"/>
          </rPr>
          <t xml:space="preserve">
302.039 dibagi 302.039 dikali 100 = 100%</t>
        </r>
      </text>
    </comment>
    <comment ref="E14" authorId="0" shapeId="0">
      <text>
        <r>
          <rPr>
            <b/>
            <sz val="9"/>
            <color indexed="81"/>
            <rFont val="Tahoma"/>
            <family val="2"/>
          </rPr>
          <t>LENOVO:</t>
        </r>
        <r>
          <rPr>
            <sz val="9"/>
            <color indexed="81"/>
            <rFont val="Tahoma"/>
            <family val="2"/>
          </rPr>
          <t xml:space="preserve">
1190 dibagi 1190 dikali 100 = 100%</t>
        </r>
      </text>
    </comment>
  </commentList>
</comments>
</file>

<file path=xl/comments5.xml><?xml version="1.0" encoding="utf-8"?>
<comments xmlns="http://schemas.openxmlformats.org/spreadsheetml/2006/main">
  <authors>
    <author>LENOVO</author>
  </authors>
  <commentList>
    <comment ref="I16" authorId="0" shapeId="0">
      <text>
        <r>
          <rPr>
            <b/>
            <sz val="9"/>
            <color indexed="81"/>
            <rFont val="Tahoma"/>
            <family val="2"/>
          </rPr>
          <t>LENOVO:</t>
        </r>
        <r>
          <rPr>
            <sz val="9"/>
            <color indexed="81"/>
            <rFont val="Tahoma"/>
            <family val="2"/>
          </rPr>
          <t xml:space="preserve">
Desa Langkea Raya dan Desa Atue</t>
        </r>
      </text>
    </comment>
  </commentList>
</comments>
</file>

<file path=xl/sharedStrings.xml><?xml version="1.0" encoding="utf-8"?>
<sst xmlns="http://schemas.openxmlformats.org/spreadsheetml/2006/main" count="3283" uniqueCount="871">
  <si>
    <t>BPBD</t>
  </si>
  <si>
    <t>NO</t>
  </si>
  <si>
    <t>SEKTOR DAN PROGRAM PRIORITAS KEPALA DAERAH 
2021-2026</t>
  </si>
  <si>
    <t>PROGRAM PEMBANGUNAN DAERAH</t>
  </si>
  <si>
    <t>OPD PENANGGUNG JAWAB</t>
  </si>
  <si>
    <t>PROGRAM</t>
  </si>
  <si>
    <t>KEGIATAN</t>
  </si>
  <si>
    <t>SUB KEGIATAN</t>
  </si>
  <si>
    <t>TARGET</t>
  </si>
  <si>
    <t>K</t>
  </si>
  <si>
    <t>RP</t>
  </si>
  <si>
    <t xml:space="preserve"> PROGRAM PENANGGULANGAN BENCANA</t>
  </si>
  <si>
    <t>Penyusunan Kajian Risiko Bencana Kabupaten/Kota</t>
  </si>
  <si>
    <t>Jumlah dokumen KRB yang disusun sampai dengan dinyatakan sah/legal  (dokumen)</t>
  </si>
  <si>
    <t>Sosialisasi, Komunikasi, Informasi dan Edukasi (KIE) Rawan Bencana Kabupaten/Kota (Per Jenis Bencana)</t>
  </si>
  <si>
    <t>Pelayanan Pencegahan dan Kesiapsiagaan Terhadap Bencana</t>
  </si>
  <si>
    <t>Penyusunan Rencana Penanggulangan Bencana Kabupaten/Kota</t>
  </si>
  <si>
    <t>Jumlah dokumen RPB yang disusun sampai dinyatakan sah/legal  (dokumen)</t>
  </si>
  <si>
    <t>Pelatihan Pencegahan dan Mitigasi Bencana Kabupaten/Kota</t>
  </si>
  <si>
    <t>Pengendalian Operasi dan Penyediaan Sarana Prasarana Kesiapsiagaan Terhadap Bencana Kabupaten/Kota</t>
  </si>
  <si>
    <t>Gladi Kesiapsiagaan Terhadap Bencana</t>
  </si>
  <si>
    <t>Penyusunan Rencana Kontijensi</t>
  </si>
  <si>
    <t>Pengembangan Kapasitas Tim Reaksi Cepat (TRC) Bencana Kabupaten/Kota</t>
  </si>
  <si>
    <t>Penguatan Kapasitas Kawasan untuk Pencegahan dan Kesiapsiagaan</t>
  </si>
  <si>
    <t>KEPALA PELAKSANA,</t>
  </si>
  <si>
    <t>MASDIN, AP., M.Si</t>
  </si>
  <si>
    <t>Pangkat : Pembina Utama Muda</t>
  </si>
  <si>
    <t>Persentase warga negara yang memperoleh layanan informasi rawan bencana(%)</t>
  </si>
  <si>
    <t>Persentase warga negara yang memperoleh layanan pencegahan dan kesiapsiagaan terhadap bencana (%)</t>
  </si>
  <si>
    <t>Cakupan warga negara yang memperoleh layanan informasi rawan bencana(%)</t>
  </si>
  <si>
    <t>Cakupan warga negara yang memperoleh layanan pencegahan dan kesiapsiagaan terhadap bencana(%)</t>
  </si>
  <si>
    <t>Jumlah peserta sosialisasi kebencanaan (orang)</t>
  </si>
  <si>
    <t>Jumlah aparatur dan warga negara yang ikut pelatihan (orang)</t>
  </si>
  <si>
    <t>Jumlah sarana prasarana penanggulangan bencana yang diadakan (unit)</t>
  </si>
  <si>
    <t>Jumlah warga negara yang ikut pelatihan (orang)</t>
  </si>
  <si>
    <t>Jumlah dokumen renkon yang disusun sampai dinyatakan sah/legal (dokumen)</t>
  </si>
  <si>
    <t>Jumlah Tim Reaksi Cepat yang di diklat (orang)</t>
  </si>
  <si>
    <t>Jumlah desa tangguh bencana yang di bentuk (desa)</t>
  </si>
  <si>
    <t>Keterangan</t>
  </si>
  <si>
    <t>TOTAL ANGGARAN</t>
  </si>
  <si>
    <t>MITIGASI BENCANA</t>
  </si>
  <si>
    <t>INDIKATOR PROGRAM</t>
  </si>
  <si>
    <t>INDIKATOR KEGIATAN</t>
  </si>
  <si>
    <t>INDIKATOR SUB KEGIATAN</t>
  </si>
  <si>
    <t>BADAN PENANGGULANGAN BENCANA DAERAH KABUPATEN LUWU TIMUR</t>
  </si>
  <si>
    <t xml:space="preserve">Plt. </t>
  </si>
  <si>
    <t>NIP. 19730315 199311 1 001</t>
  </si>
  <si>
    <t>Pelayanan Informasi Rawan Bencana</t>
  </si>
  <si>
    <t>BADAN PENANGGULANGAN BENCANA DAERAH KAB. LUWU TIMUR</t>
  </si>
  <si>
    <t xml:space="preserve"> </t>
  </si>
  <si>
    <t>KODE</t>
  </si>
  <si>
    <t>PROGRAM/KEGIATAN/SUB KEGIATAN</t>
  </si>
  <si>
    <t>Target Triwulan I (Berdasarkan Anggaran Kas)</t>
  </si>
  <si>
    <t>Target Triwulan II (Berdasarkan Anggaran Kas)</t>
  </si>
  <si>
    <t>Target Triwulan III (Berdasarkan Anggaran Kas)</t>
  </si>
  <si>
    <t>Target Triwulan IV (Berdasarkan Anggaran Kas)</t>
  </si>
  <si>
    <t>Selisih</t>
  </si>
  <si>
    <t>Urusan</t>
  </si>
  <si>
    <t>Bidang Urusan</t>
  </si>
  <si>
    <t>Program</t>
  </si>
  <si>
    <t>Kegiatan</t>
  </si>
  <si>
    <t>Sub Kegiatan</t>
  </si>
  <si>
    <t xml:space="preserve"> (Rp)</t>
  </si>
  <si>
    <t>%</t>
  </si>
  <si>
    <t>(Rp)</t>
  </si>
  <si>
    <t>(%)</t>
  </si>
  <si>
    <t>05</t>
  </si>
  <si>
    <t>URUSAN PEMERINTAHAN BIDANG KETENTRAMAN DAN KETERTIBAN UMUM SERTA PERLINDUNGAN MASYARAKAT</t>
  </si>
  <si>
    <t>01</t>
  </si>
  <si>
    <t>PROGRAM PENUNJANG URUSAN PEMERINTAHAN DAERAH KAB/KOTA</t>
  </si>
  <si>
    <t>2.01</t>
  </si>
  <si>
    <t>Kegiatan Perencanaan, Penganggaran, dan Evaluasi Kinerja Perangkat Daerah</t>
  </si>
  <si>
    <t>5.1</t>
  </si>
  <si>
    <t>02</t>
  </si>
  <si>
    <t>0024</t>
  </si>
  <si>
    <t xml:space="preserve">Belanja Alat/Bahan untuk kegiatan Kantor-Alat Tulis Kantor </t>
  </si>
  <si>
    <t>0026</t>
  </si>
  <si>
    <t>Belanja Alat/Bahan untuk kegiatan Kantor-Bahan Cetak</t>
  </si>
  <si>
    <t>0052</t>
  </si>
  <si>
    <t>Belanja Makanan dan Minuman Rapat</t>
  </si>
  <si>
    <t>04</t>
  </si>
  <si>
    <t>0001</t>
  </si>
  <si>
    <t>Belanja Perjalanan Dinas Biasa</t>
  </si>
  <si>
    <t>Koordinasi dan Penyusunan Dokumen RKA-SKPD</t>
  </si>
  <si>
    <t>Koordinasi dan Penyusunan DPA-SKPD</t>
  </si>
  <si>
    <t>07</t>
  </si>
  <si>
    <t>Evaluasi Kinerja Perangkat Daerah</t>
  </si>
  <si>
    <t>2.02</t>
  </si>
  <si>
    <t>Administrasi Keuangan Perangkat Daerah</t>
  </si>
  <si>
    <t>202</t>
  </si>
  <si>
    <t>Penyediaan Gaji dan Tunjangan ASN</t>
  </si>
  <si>
    <t>Belanja Gaji Pokok PNS</t>
  </si>
  <si>
    <t>Belanja Tunjangan Keluarga PNS</t>
  </si>
  <si>
    <t>03</t>
  </si>
  <si>
    <t>Belanja Tunjangan Jabatan PNS</t>
  </si>
  <si>
    <t>Belanja Tunjangan Fungsional PNS</t>
  </si>
  <si>
    <t>Belanja Tunjangan Fungsional Umum PNS</t>
  </si>
  <si>
    <t>06</t>
  </si>
  <si>
    <t>Belanja Tunjangan Beras PNS</t>
  </si>
  <si>
    <t>Belanja Tunjangan PPh/Tunjangan Khusus ASN</t>
  </si>
  <si>
    <t>08</t>
  </si>
  <si>
    <t>Belanja Pembulatan Gaji PNS</t>
  </si>
  <si>
    <t>Tambahan Penghasilan Berdasarkan Beban Kerja PNS</t>
  </si>
  <si>
    <t>Tambahan Penghasilan Berdasarkan Kondisi Kerja PNS</t>
  </si>
  <si>
    <t>Koordinasi dan Penyusunan Laporan Keuangan Bulanan/Triwulan/Semesteran SKPD</t>
  </si>
  <si>
    <t>Belanja Honorarium Penanggung Jawab Pengelola Keuangan</t>
  </si>
  <si>
    <t>0028</t>
  </si>
  <si>
    <t>Belanja Jasa Tenaga Pelayanan Umum</t>
  </si>
  <si>
    <t>2.03</t>
  </si>
  <si>
    <t>Administrasi Barang Milik  Daerah pada Perangkat Daerah</t>
  </si>
  <si>
    <t>Penatausahaan Barang Milik Daerah pada SKPD</t>
  </si>
  <si>
    <t>0002</t>
  </si>
  <si>
    <t>Belanja Jasa Pengelolaan BMD yang Tidak Menghasilkan Pendapatan</t>
  </si>
  <si>
    <t>2.05</t>
  </si>
  <si>
    <t>Administrasi Kepegawaian Perangkat Daerah</t>
  </si>
  <si>
    <t>11</t>
  </si>
  <si>
    <t>0003</t>
  </si>
  <si>
    <t>2.06</t>
  </si>
  <si>
    <t>Administrasi Umum Perangkat Daerah</t>
  </si>
  <si>
    <t>Penyediaaan Komponen Instalasi Listrik/Penerangan Bangunan Kantor</t>
  </si>
  <si>
    <t>0031</t>
  </si>
  <si>
    <t xml:space="preserve">Belanja Alat/Bahan untuk kegiatan Kantor-Alat Listrik </t>
  </si>
  <si>
    <t>Penyediaan Bahan Logistik Kantor</t>
  </si>
  <si>
    <t>0004</t>
  </si>
  <si>
    <t>Belanja Bahan-Bahan Bakar dan Pelumas</t>
  </si>
  <si>
    <t>0012</t>
  </si>
  <si>
    <t>Belanja Bahan-Bahan Lainnya</t>
  </si>
  <si>
    <t>Penyediaaan Barang Cetakan dan Penggandaan</t>
  </si>
  <si>
    <t>Penyediaan Bahan Bacaan dan Peraturan Perundang-undangan</t>
  </si>
  <si>
    <t>0062</t>
  </si>
  <si>
    <t>Belanja Langganan Jurnal/Surat Kabar/Majalah</t>
  </si>
  <si>
    <t>Fasilitas Kunjungan Tamu</t>
  </si>
  <si>
    <t>0053</t>
  </si>
  <si>
    <t>Belanja Makanan dan Minuman Jamuan Tamu</t>
  </si>
  <si>
    <t>09</t>
  </si>
  <si>
    <t>Penyelenggaraan Rapat Koordinasi dan Konsultasi SKPD</t>
  </si>
  <si>
    <t>2.07</t>
  </si>
  <si>
    <t>Pengadaan Barang Milik Daerah Penunjang Urusan Pemerintah Daerah</t>
  </si>
  <si>
    <t>Pengadaan Mebel</t>
  </si>
  <si>
    <t>Belanja Modal Kursi Kerja Pejabat</t>
  </si>
  <si>
    <t>Pengadaan Peralatan dan Mesin Lainnya</t>
  </si>
  <si>
    <t>2.08</t>
  </si>
  <si>
    <t>Penyediaan Jasa Penunjang Urusan Pemerintahan Daerah</t>
  </si>
  <si>
    <t>Penyediaan Jasa Surat Menyurat</t>
  </si>
  <si>
    <t>0027</t>
  </si>
  <si>
    <t>Belanja Alat/Bahan untuk kegiatan Kantor-Benda Pos</t>
  </si>
  <si>
    <t>0064</t>
  </si>
  <si>
    <t>Belanja Paket/Pengiriman</t>
  </si>
  <si>
    <t>Penyediaan Jasa komonikasi, Sumber Daya Air dan Listrik</t>
  </si>
  <si>
    <t>0059</t>
  </si>
  <si>
    <t>Belanja Tagihan Telpon</t>
  </si>
  <si>
    <t>0060</t>
  </si>
  <si>
    <t>Belanja Tagihan Air</t>
  </si>
  <si>
    <t>0061</t>
  </si>
  <si>
    <t>Belanja Tagihan Listrik</t>
  </si>
  <si>
    <t>Penyediaan Jasa Pelayanan Umum Kantor</t>
  </si>
  <si>
    <t>Belanja Honorarium Perangkat Unit Kerja Pengadaan Barang dan Jasa (UKPBJ)</t>
  </si>
  <si>
    <t>2.09</t>
  </si>
  <si>
    <t>Pemeliharaan Barang Milik Daerah Penunjang Umum Pemerintahan Daerah</t>
  </si>
  <si>
    <t>Penyediaan Jasa Pemeliharaan, Biaya Pemeliharaan,Pajak, dan Perizinan Kendaraan Dinas Operasional atau Lapangan</t>
  </si>
  <si>
    <t>0035</t>
  </si>
  <si>
    <t>Belanja Pemeliharaan Alat Angkutan-Alat Angkutan Darat Bermotor-Kendaraan Dinas Bermotor Perorangan</t>
  </si>
  <si>
    <t>0036</t>
  </si>
  <si>
    <t>Belanja Pemeliharaan Alat Angkutan-Alat Angkutan Darat Bermotor-Kendaraan Bermotor Penumpang</t>
  </si>
  <si>
    <t>Pemeliharaan Peralatan dan Mesin Lainnya</t>
  </si>
  <si>
    <t>0022</t>
  </si>
  <si>
    <t>Belanja Pemeliharaan Alat Berat-Alat Bantu-ElectrikGenerating Set</t>
  </si>
  <si>
    <t>0056</t>
  </si>
  <si>
    <t xml:space="preserve">Belanja Pemeliharaan Alat Angkutan-Alat Angkutan Apung Tak Bermotor -Alat Angkutan Apung Tak Bermotor Lainnya </t>
  </si>
  <si>
    <t>0117</t>
  </si>
  <si>
    <t>Belanja Pemeliharaan Alat Kantor dan Rumah Tangga-Alat Kantor-Alat Kantor Lainnya</t>
  </si>
  <si>
    <t>0405</t>
  </si>
  <si>
    <t>Belanja Pemeliharaan Komputer-Komputer Unit-Personal Computer</t>
  </si>
  <si>
    <t>Pemeliharaan/Rehabilitasi Gedung Kantor dan Bangunan Lainnya</t>
  </si>
  <si>
    <t>Belanja Pemeliharaan Bangunan Gedung-Bangunan Gedung Tempat Kerja-Bangunan Gedung Kantor</t>
  </si>
  <si>
    <t>PROGRAM PENANGGULANGAN BENCANA</t>
  </si>
  <si>
    <t>Pelayanan Informasi Rawan Bencana Kabupaten/Kota</t>
  </si>
  <si>
    <t>Sosialisasi, Komonikasi, Informasi dan Edukasi (KIE) Rawan Bencana Kabupaten/Kota (Per Jenis Bencana)</t>
  </si>
  <si>
    <t>Belanja Alat/Bahan untuk Kegiatan Kantor - Alat Tulis Kantor</t>
  </si>
  <si>
    <t>Belanja Alat/Bahan untuk Kegiatan Kantor - Bahan Cetak</t>
  </si>
  <si>
    <t>Honorarium Narasumber atau Pembahas, Moderator, Pembawa Acara, dan Panitia</t>
  </si>
  <si>
    <t xml:space="preserve">Belanja Sewa Kendaraan Dinas Bermotor Perorangan </t>
  </si>
  <si>
    <t>0043</t>
  </si>
  <si>
    <t>Belanja Sewa Hotel</t>
  </si>
  <si>
    <t>0070</t>
  </si>
  <si>
    <t>Belanja Pakaian Pelatihan Kerja</t>
  </si>
  <si>
    <t>Pengendalian Operasi dan Penyediaan Sarana Prasaranan Kesiapsiagaan Terhadap Bencana Kabupaten/Kota</t>
  </si>
  <si>
    <t>Penanganan Pasca Bencana Kabupaten/Kota</t>
  </si>
  <si>
    <t>Belanja Alat/Bahan untuk Kegiatan Kantor- Alat Tulis Kantor</t>
  </si>
  <si>
    <t>Belanja Alat/Bahan untuk Kegiatan Kantor- Bahan Cetak</t>
  </si>
  <si>
    <t>0029</t>
  </si>
  <si>
    <t>Belanja Jasa Tenaga Ahli</t>
  </si>
  <si>
    <t>10</t>
  </si>
  <si>
    <t>Pelayanan Penyelamatan dan Evakuasi Korban Bencana</t>
  </si>
  <si>
    <t>Respon Cepat Darurat Bencana Kabupaten/Kota</t>
  </si>
  <si>
    <t>0058</t>
  </si>
  <si>
    <t>Belanja Makanan dan Minuman Aktivitas Lapangan</t>
  </si>
  <si>
    <t>Pencarian,Pertolongan dan Evakuasi Korban Bencana Kabupaten/Kota</t>
  </si>
  <si>
    <t>Belanja Bahan-Bahan Dan Pelumas</t>
  </si>
  <si>
    <t>Penyediaan Logistik Penyelamatan dan Evakuasi Korban Bencana Kabupaten/Kota</t>
  </si>
  <si>
    <t>Belanja Sewa Alat Angkutan Darat Bermotor Lainnya</t>
  </si>
  <si>
    <t xml:space="preserve">Aktivasi Sistem Komando Penanganan Darurat Bencana </t>
  </si>
  <si>
    <t>Respon Cepat Bencana Non Alam Epidemi/Wabah Penyakit</t>
  </si>
  <si>
    <t>2.04</t>
  </si>
  <si>
    <t>Penataan Sistem Dasar Penanggulangan Bencana</t>
  </si>
  <si>
    <t>Penyusunan Regulasi Penanggulangan Bencana Kabupaten/Kota</t>
  </si>
  <si>
    <t>Kepala Pelaksana,</t>
  </si>
  <si>
    <t>I</t>
  </si>
  <si>
    <t>II</t>
  </si>
  <si>
    <t>REKAPITULASI KEMAJUAN PENGADAAN BARANG DAN JASA</t>
  </si>
  <si>
    <t>No.</t>
  </si>
  <si>
    <t>Nama Sub Kegiatan/Paket Kegiatan</t>
  </si>
  <si>
    <t>Sumber Dana</t>
  </si>
  <si>
    <t>Nama PPK</t>
  </si>
  <si>
    <t>Nilai Kontrak/SPK                            (Rp)</t>
  </si>
  <si>
    <t>Nomor &amp; Tanggal Kontrak</t>
  </si>
  <si>
    <t>Jasa Konsultan/Rekanan/Pihak Ketiga</t>
  </si>
  <si>
    <t>Waktu Kontrak</t>
  </si>
  <si>
    <t>Rencana (%)</t>
  </si>
  <si>
    <t>Realisasi</t>
  </si>
  <si>
    <t>Jenis pengadaan</t>
  </si>
  <si>
    <t>Mulai</t>
  </si>
  <si>
    <t>Akhir</t>
  </si>
  <si>
    <t>Fisik (%)</t>
  </si>
  <si>
    <t>Keuangan</t>
  </si>
  <si>
    <t>Jumlah (Rp)</t>
  </si>
  <si>
    <t>Kecamatan Malili</t>
  </si>
  <si>
    <t>APBD</t>
  </si>
  <si>
    <t>Pengadaan Peralatan &amp; Mesin Lainnya</t>
  </si>
  <si>
    <t>III</t>
  </si>
  <si>
    <t xml:space="preserve">JUMLAH ANGGARAN </t>
  </si>
  <si>
    <t>Plt.</t>
  </si>
  <si>
    <t>REKAPITULASI KEMAJUAN FISIK (KONSTRUKSI)</t>
  </si>
  <si>
    <t>Nama Kegiatan/Paket Kegiatan</t>
  </si>
  <si>
    <t>Konsultan Perencana</t>
  </si>
  <si>
    <t>Konsultan Pengawas</t>
  </si>
  <si>
    <t>Kontraktor Pelaksana</t>
  </si>
  <si>
    <t>Deviasi (%)</t>
  </si>
  <si>
    <t>Jenis Pengadaan</t>
  </si>
  <si>
    <t>-</t>
  </si>
  <si>
    <t>Pengadaan Langsung</t>
  </si>
  <si>
    <t>TAHUN 2023</t>
  </si>
  <si>
    <t>KETERANGAN</t>
  </si>
  <si>
    <t>Jumlah dokumen perencanaan yang disusun tepat waktu</t>
  </si>
  <si>
    <t>2 Dokumen</t>
  </si>
  <si>
    <t>10 Dokumen</t>
  </si>
  <si>
    <t>Kegiatan Administrasi Keuangan Perangkat Daerah</t>
  </si>
  <si>
    <t>18 Dokumen</t>
  </si>
  <si>
    <t>Kegiatan Administrasi Barang Milik  Daerah pada Perangkat Daerah</t>
  </si>
  <si>
    <t>4 Dokumen</t>
  </si>
  <si>
    <t>Kegiatan Administrasi Kepegawaian Perangkat Daerah</t>
  </si>
  <si>
    <t>Bimbingan Teknis Implementasi Peraturan Perundang-Undangan</t>
  </si>
  <si>
    <t>10 Orang</t>
  </si>
  <si>
    <t>Kegiatan Administrasi Umum Perangkat Daerah</t>
  </si>
  <si>
    <t>Kegiatan Pengadaan Barang Milik Daerah Penunjang Urusan Pemerintah Daerah</t>
  </si>
  <si>
    <t>5 Unit</t>
  </si>
  <si>
    <t>6 Unit</t>
  </si>
  <si>
    <t>Pengadaan Sarana dan Prasarana Gedung Kantor atau Bangunan Lainnya</t>
  </si>
  <si>
    <t>Jumlah sarana dan prasarana gedung kantor atau bangunan lainnya yang diadakan</t>
  </si>
  <si>
    <t>1 Unit</t>
  </si>
  <si>
    <t>Pengadaan Sarana dan Prasarana Pendukung Gedung Kantor atau Bangunan Lainnya</t>
  </si>
  <si>
    <t>Jumlah sarana dan prasarana pendukung gedung kantor atau bangunan lainnya yang diadakan</t>
  </si>
  <si>
    <t>3 Unit</t>
  </si>
  <si>
    <t>Kegiatan Penyediaan Jasa Penunjang Urusan Pemerintahan Daerah</t>
  </si>
  <si>
    <t>Jumlah surat masuk dan keluar yang diadministrasikan</t>
  </si>
  <si>
    <t>Penyediaan Jasa komunikasi, Sumber Daya Air dan Listrik</t>
  </si>
  <si>
    <t>Kegiatan Pemeliharaan Barang Milik Daerah Penunjang Umum Pemerintahan Daerah</t>
  </si>
  <si>
    <t>13 Unit</t>
  </si>
  <si>
    <t>Persentase warga negara yang memperoleh layanan informasi rawan bencana</t>
  </si>
  <si>
    <t>Kegiatan Pelayanan Informasi Rawan Bencana Kabupaten/Kota</t>
  </si>
  <si>
    <t>Jumlah dokumen KRB yang disusun sampai dengan dinyatakan sah/Legal</t>
  </si>
  <si>
    <t>1 Dokumen</t>
  </si>
  <si>
    <t>Kegiatan Pelayanan Pencegahan dan Kesiapsiagaan Terhadap Bencana</t>
  </si>
  <si>
    <t>Jumlah dokumen RPB yang disusun sampai dinyatakan sah/legal</t>
  </si>
  <si>
    <t>2 Desa</t>
  </si>
  <si>
    <t>Kegiatan Pelayanan Penyelamatan dan Evakuasi Korban Bencana</t>
  </si>
  <si>
    <t>Pencarian, Pertolongan dan Evakuasi Korban Bencana Kabupaten/Kota</t>
  </si>
  <si>
    <t>Jumlah regulasi penanggulangan bencana kabupaten/kota yang disusun</t>
  </si>
  <si>
    <t>3 Dokumen</t>
  </si>
  <si>
    <t>Penguatan Kelembagaan Bencana Kabupaten/Kota</t>
  </si>
  <si>
    <t>Jumlah Forum PRB yang dibentuk dan difasilitasi</t>
  </si>
  <si>
    <t>1 Lembaga</t>
  </si>
  <si>
    <t>Penanganan Pascabencana Kabupaten/Kota</t>
  </si>
  <si>
    <t>MASDIN, AP, M.Si</t>
  </si>
  <si>
    <t>Pagu Anggaran (Rp)</t>
  </si>
  <si>
    <t>E-Catalog</t>
  </si>
  <si>
    <t>Pengendalian Operasi dan Penyediaan Sarana Prasarana Kesispsiagaan Terhadap Bencana Kabupaten/Kota</t>
  </si>
  <si>
    <t>Belanja Modal Pembangunan Papan Nama Instansi/Kantor</t>
  </si>
  <si>
    <t>Perencanaan 3%</t>
  </si>
  <si>
    <t>Pengawasan 3%</t>
  </si>
  <si>
    <t>IV</t>
  </si>
  <si>
    <t>Pengadaan Lemari Display Kaca (1 unit)</t>
  </si>
  <si>
    <t>Pengadaan Kursi Staf  (2 unit)</t>
  </si>
  <si>
    <t>Pengadaan Kursi Kerja eselon IV (1 unit)</t>
  </si>
  <si>
    <t>Pengadaan Kursi Kerja eselon III (1 unit)</t>
  </si>
  <si>
    <t>Pengadaan Komputer PC (3 unit)</t>
  </si>
  <si>
    <t>Pengadaan Printer (3 unit)</t>
  </si>
  <si>
    <t>Pengadaan AC 1/2 Pk       (2 unit)</t>
  </si>
  <si>
    <t>Pengadaan TV Monitor     (1 unit )</t>
  </si>
  <si>
    <t>Belanja Modal Pengadaan Perahu Karet (1 unit)</t>
  </si>
  <si>
    <t>Pengadaan Life Jacket/Pelampung          (20 unit)</t>
  </si>
  <si>
    <t>Nilai Kontrak/SPK  (Rp)</t>
  </si>
  <si>
    <t>Berdasarkan anggaran kas, sub kegiatan ini direncanakan pada Triwulan II (design) &amp; III (Fisik) TA. 2023. Dan saat ini dalam proses penyusunan HPS Perencanaan</t>
  </si>
  <si>
    <t>Berdasarkan anggaran kas, sub kegiatan ini direncanakan pada Triwulan II TA. 2023. Dan saat ini dalam proses pencarian jenis barang dan penyedia dalam e-catalog lokal</t>
  </si>
  <si>
    <t>Sub kegiatan ini direncanakan pada TW II TA. 2023</t>
  </si>
  <si>
    <t>PPTK</t>
  </si>
  <si>
    <t>Penyusunan dokumen Perencanaan Perangkat Daerah</t>
  </si>
  <si>
    <t>Chalijah, STP</t>
  </si>
  <si>
    <t>0025</t>
  </si>
  <si>
    <t>Belanja Alat/Bahan untuk kegiatan Kantor-Kertas dan Cover</t>
  </si>
  <si>
    <t>Belanja Alat/Bahan untuk kegiatan Kantor-Bahan Komputer</t>
  </si>
  <si>
    <t>Muh. Jumardin, SE</t>
  </si>
  <si>
    <t>Belanja Kursus Singkat/Pelatihan</t>
  </si>
  <si>
    <t xml:space="preserve">Belanja Modal Alat Penyimpanan Perlengkapan Kantor </t>
  </si>
  <si>
    <t>Belanja Modal Personal Computer</t>
  </si>
  <si>
    <t>Belanja Modal Peralatan Personal Computer</t>
  </si>
  <si>
    <t xml:space="preserve">Belanja Modal Pilar/Tugu/Tanda Lainnya </t>
  </si>
  <si>
    <t>Pengadaan Sarana dan Prasarana Pendukun Gedung Kantor atau Bangunan Lainnya</t>
  </si>
  <si>
    <t xml:space="preserve">Belanja Modal Alat Pendingin </t>
  </si>
  <si>
    <t>0006</t>
  </si>
  <si>
    <t>Belanja Modal Alat Studio Lainnya</t>
  </si>
  <si>
    <t>Penyusunan Kajian Resiko Bencana Kabupaten/Kota</t>
  </si>
  <si>
    <t>Belanja Sewa Kendaraan Bermotor Penumpang</t>
  </si>
  <si>
    <t>Belanja Sewa Kendaraan  Bermotor Penumpang</t>
  </si>
  <si>
    <t>Bannawaty, ST</t>
  </si>
  <si>
    <t>Belanja Modal Alat Angkutan Apung Tak Bermotor Khusus</t>
  </si>
  <si>
    <t>15</t>
  </si>
  <si>
    <t>Belanja Modal Alat Pelindung Lainnya</t>
  </si>
  <si>
    <t>Sofyan Burhan, ST</t>
  </si>
  <si>
    <t>Belanja Sewa Kendaraan Dinas  Bermotor Perorangan</t>
  </si>
  <si>
    <t>0137</t>
  </si>
  <si>
    <t>Belanja Sewa Alat Studio Lainnya</t>
  </si>
  <si>
    <t>Maria Claret Nita Tampa, ST</t>
  </si>
  <si>
    <t>0019</t>
  </si>
  <si>
    <t>Belanja Jasa Tenaga Penanganan Bencana</t>
  </si>
  <si>
    <t>CAPAIAN S.D TW I</t>
  </si>
  <si>
    <t>Berdasarkan anggaran kas, Output Sub kegiatan ini direncanakan selesai pada Triwulan IV TA. 2023 namun administrasi dimulai pada TW III TA. 2023. Penyusunan RPB dapat dilaksanakan bilamana Dokumen KRB telah selesai.</t>
  </si>
  <si>
    <t>Berdasarkan anggaran kas, Sub kegiatan ini direncanakan pada bulan September (Triwulan III TA. 2023).</t>
  </si>
  <si>
    <t>Berdasarkan anggaran kas, Sub kegiatan ini direncanakan pada Triwulan III TA. 2023 dirangkaikan dengan Hari Pengurangan Risiko Bencana serta Gelar Pasukan</t>
  </si>
  <si>
    <t>Berdasarkan anggaran kas, Output Sub kegiatan ini direncanakan selesai pada bulan Nopember (Triwulan IV TA. 2023) namun administrasi dimulai pada bulan September 2023.</t>
  </si>
  <si>
    <t>Berdasarkan anggaran kas, Sub kegiatan ini direncanakan pada bulan Juli (Triwulan III TA. 2023).</t>
  </si>
  <si>
    <t>CAPAIAN KPI PROGRAM PRIORITAS TAHUN 2023</t>
  </si>
  <si>
    <t>BADAN PENANGGULANGAN BENCANA DAERAH</t>
  </si>
  <si>
    <t>No</t>
  </si>
  <si>
    <t>Sasaran RKPD</t>
  </si>
  <si>
    <t>Program/Kegiatan</t>
  </si>
  <si>
    <t>Indikator Kinerja Program (outcome)/ Kegiatan (output)</t>
  </si>
  <si>
    <t>Target RPJMD pada Tahun 2026 (Akhir Periode RPJMD)</t>
  </si>
  <si>
    <t>Realisasi Kinerja Sampai Dengan Triwulan</t>
  </si>
  <si>
    <t>13=12/7x100%</t>
  </si>
  <si>
    <t>14 = 6 + 12</t>
  </si>
  <si>
    <t>15=14/5 x100%</t>
  </si>
  <si>
    <t>Rp</t>
  </si>
  <si>
    <t>Persentase penyusunan dokumen perencanaan, penganggaran &amp; evaluasi tepat waktu (%)</t>
  </si>
  <si>
    <t>Jumlah dokumen RKA-SKPD yang disusun tepat waktu (Dokumen)</t>
  </si>
  <si>
    <t>Jumlah dokumen DPA-SKPD yang disusun tepat waktu (Dokumen)</t>
  </si>
  <si>
    <t>Jumlah dokumen evaluasi kinerja pelayanan perangkat daerah yang disusun  (Dokumen)</t>
  </si>
  <si>
    <t>Rata-Rata Capaian Kinerja (%)</t>
  </si>
  <si>
    <t>Predikat Kinerja</t>
  </si>
  <si>
    <t>Persentase administrasi keuangan yang terselenggara dengan baik (%)</t>
  </si>
  <si>
    <t>Jumlah ASN yang gaji dan tunjangan terbayarkana (Orang)</t>
  </si>
  <si>
    <t>Jumlah dokumen laporan keuangan bulanan/triwulanan/semesteran SKPD yang disusun Tepat Waktu  (Dokumen)</t>
  </si>
  <si>
    <t>Persentase BMD yang diadministrasikan sesuai standar (%)</t>
  </si>
  <si>
    <t>Persentase Rata-rata Capaian kinerja Administrasi Kepegawaian Perangkat Daerah (%)</t>
  </si>
  <si>
    <t>Jumlah ASN yang mengikuti bimbingan teknis implementasi peraturan perundang - undangann (orang)</t>
  </si>
  <si>
    <t>Persentase Rata- Rata Capaian Kinerja administrasi umum Perangkat Daerah (%)</t>
  </si>
  <si>
    <t>Jumlah komponen instalasi listrik/penerangan bangunan kantor yang disediakan (jenis)</t>
  </si>
  <si>
    <t>Jumlah Bahan Logistik Kantor yang disediakan (jenis)</t>
  </si>
  <si>
    <t>Jumlah Barang cetakan dan/atau penggandaan yang disediakan (jenis)</t>
  </si>
  <si>
    <t>Jumlah Penyediaan bahan bacaan dan peraturan perundang- undangan  (examplar)</t>
  </si>
  <si>
    <t>Jumlah tamu yang difasilitasi (orang)</t>
  </si>
  <si>
    <t>Jumlah rapat koordinasi dan konsultasi SKPD yang diikuti (kali)</t>
  </si>
  <si>
    <t>Kegiatan Pengadaan Barang Milik Daerah</t>
  </si>
  <si>
    <t>Persentase BMD-Perangkat Daerah penunjang yang terpenuhi (%)</t>
  </si>
  <si>
    <t>Jumlah mebel yang diadakan (unit)</t>
  </si>
  <si>
    <t>Jumlah Peralatan/Mesin Lainnya yang diadakan (unit)</t>
  </si>
  <si>
    <t>Pengadaan Gedung Kantor atau Bangunan Lainnya</t>
  </si>
  <si>
    <t>Jumlah pengadaan gedung kantor atau bangunan lainnya (unit)</t>
  </si>
  <si>
    <t>Persentase Rata-Rata Capaian Kinerja jasa penunjang urusan pemerintahan daerah (%)</t>
  </si>
  <si>
    <t>Jumlah surat masuk dan keluar yang diadministrasikan (surat)</t>
  </si>
  <si>
    <t>Jumlah rekening telepon, listrik dan air yang terbayarkan (rekening)</t>
  </si>
  <si>
    <t>Jumlah jasa tenaga pelayanan umum kantor yang dibayarkann (orang)</t>
  </si>
  <si>
    <t>Persentase Barang Milik Daerah penunjang urusan pemerintahan yang terpelihara dengan baik (%)</t>
  </si>
  <si>
    <t>Penyediaan Jasa Pemeliharaan, Biaya Pemeliharaan, dan Pajak Kendaraan Dinas Operasional atau lapangan</t>
  </si>
  <si>
    <t>Jumlah kendaraan dinas operasional atau lapangan yang dipelihara (unit)</t>
  </si>
  <si>
    <t>Jumlah peralatan dan mesin lainnya yang dipelihara (unit)</t>
  </si>
  <si>
    <t>Jumlah gedung kantor dan/atau bangunan lainnya yang dipelihara/direhabilitasi (unit)</t>
  </si>
  <si>
    <t>Ketentraman, Ketertiban Umum dan Perlindungan Masyarakat</t>
  </si>
  <si>
    <t>Cakupan warga negara yang memperoleh layanan informasi rawan bencana (%)</t>
  </si>
  <si>
    <t>Cakupan warga negara yang memperoleh layanan penyelamatan dan evakuasi korban bencana yang responsif gender (%)</t>
  </si>
  <si>
    <t>Respon Cepat Darurat Bencana Kabupaten/ Kota</t>
  </si>
  <si>
    <t>Persentase kecepatan respon kurang dari 24 jam untuk setiap status darurat bencana (%)</t>
  </si>
  <si>
    <t>Persentase jumlah korban laki-laki dan perempuan berhasil dicari, ditolong dan dievakuasi terhadap kejadian bencana (%)</t>
  </si>
  <si>
    <t>Persentase jumlah korban bencana laki-laki dan perempuan yang terfasilitasi kebutuhan dasarnya yang responsif gender (%)</t>
  </si>
  <si>
    <t>Persentase jumlah petugas yang aktif dalam penanganan darurat bencana  (%)</t>
  </si>
  <si>
    <t>Respon Cepat Bencana Non Alam Epidemi/ Wabah Penyakit</t>
  </si>
  <si>
    <t>Persentase kecepatan respon kurang dari 24 jam untuk setiap status kejadian luar biasa wabah penyakit (%)</t>
  </si>
  <si>
    <t>(1) Cakupan warga negara yang memperoleh layanan pencegahan dan kesiapsiagaan terhadap bencana, (2) Persentase dokumen pemulihan pasca bencana yang disusun</t>
  </si>
  <si>
    <t>Jumlah aparatur dan warga negara yang ikut pelatihana (Orang)</t>
  </si>
  <si>
    <t xml:space="preserve">Penguatan Kapasitas Kawasan untuk Pencegahan dan Kesiapsiagaan </t>
  </si>
  <si>
    <t>Pengembangan Kapasitas Tim Reaksi Cepat (TRC) Kabupaten/Kota</t>
  </si>
  <si>
    <t>Jumlah warga negara yang ikut pelatihant (orang)</t>
  </si>
  <si>
    <t xml:space="preserve">Kegiatan Penataan Sistem Dasar Penanggulangan Bencana </t>
  </si>
  <si>
    <t>Cukupan sistem dasar penanggulangan bencana sesuai SOP kebencanaan  (%)</t>
  </si>
  <si>
    <t>Generated at: 21-01-2021 [ 18:57:22 ] By: User SKPD-8 dari EMONEV_luwutimur</t>
  </si>
  <si>
    <t>TOTAL RATA-RATA CAPAIAN KINERJA DAN ANGGARAN DARI SELURUH PROGRAM</t>
  </si>
  <si>
    <t>PREDIKAT KINERJA DARI SELURUH PROGRAM</t>
  </si>
  <si>
    <t>Faktor Penghambat pencapaian kinerja :</t>
  </si>
  <si>
    <t>- Terdapat kegiatan yang anggarannya bersifat disediakan sehingga penggunaan anggarannnya disesuaikan dengan kebutuhan dan kejadian bencana</t>
  </si>
  <si>
    <t>-  Realisasi untuk belanja gaji dan tunjangan ASN masih rendah karena terdapat beberapa jabatan yang masih kosong sehingga mempengaruhi realisasi anggaran</t>
  </si>
  <si>
    <t>- Terdapat sub kegiatan yang penggunaan anggaran sesuai dengan kebutuhan (Riil Cost)</t>
  </si>
  <si>
    <t>Faktor tindak lanjut yang diperlukan dalam triwulan berikutnya :</t>
  </si>
  <si>
    <t>- Percepatan proses pengadaan barang dan jasa</t>
  </si>
  <si>
    <t xml:space="preserve">- Percepatan proses administrasi keuangan </t>
  </si>
  <si>
    <t>- Agar setiap PPTK/PPK untuk mencermati kegiatan yang anggarannya bersifat disediakan</t>
  </si>
  <si>
    <t>- Melaksanakan monitoring dan evaluasi terhadap target kinerja yang termuat dalam Perjanjian Kinerja secara berjenjang</t>
  </si>
  <si>
    <t>Faktor tindak lanjut yang diperlukan dalam Renja SKPD tahun berikutnya :</t>
  </si>
  <si>
    <t xml:space="preserve">INTERVAL NILAI REALISASI KINERJA </t>
  </si>
  <si>
    <t xml:space="preserve">KRITERIA PENILAIAN REALISASI KINERJA </t>
  </si>
  <si>
    <r>
      <t>(1)</t>
    </r>
    <r>
      <rPr>
        <sz val="7"/>
        <rFont val="Arial Narrow"/>
        <family val="2"/>
      </rPr>
      <t xml:space="preserve">             </t>
    </r>
    <r>
      <rPr>
        <sz val="10"/>
        <rFont val="Arial Narrow"/>
        <family val="2"/>
      </rPr>
      <t> </t>
    </r>
  </si>
  <si>
    <r>
      <t xml:space="preserve">91% </t>
    </r>
    <r>
      <rPr>
        <sz val="12"/>
        <rFont val="Arial Narrow"/>
        <family val="2"/>
      </rPr>
      <t>≤</t>
    </r>
    <r>
      <rPr>
        <sz val="10"/>
        <rFont val="Arial Narrow"/>
        <family val="2"/>
      </rPr>
      <t xml:space="preserve"> 100%</t>
    </r>
  </si>
  <si>
    <t>Sangat tinggi</t>
  </si>
  <si>
    <r>
      <t>(2)</t>
    </r>
    <r>
      <rPr>
        <sz val="7"/>
        <rFont val="Arial Narrow"/>
        <family val="2"/>
      </rPr>
      <t xml:space="preserve">             </t>
    </r>
    <r>
      <rPr>
        <sz val="10"/>
        <rFont val="Arial Narrow"/>
        <family val="2"/>
      </rPr>
      <t> </t>
    </r>
  </si>
  <si>
    <r>
      <t xml:space="preserve">76% </t>
    </r>
    <r>
      <rPr>
        <sz val="12"/>
        <rFont val="Arial Narrow"/>
        <family val="2"/>
      </rPr>
      <t xml:space="preserve">≤ </t>
    </r>
    <r>
      <rPr>
        <sz val="10"/>
        <rFont val="Arial Narrow"/>
        <family val="2"/>
      </rPr>
      <t xml:space="preserve">90% </t>
    </r>
  </si>
  <si>
    <t>Tinggi</t>
  </si>
  <si>
    <r>
      <t>(3)</t>
    </r>
    <r>
      <rPr>
        <sz val="7"/>
        <rFont val="Arial Narrow"/>
        <family val="2"/>
      </rPr>
      <t xml:space="preserve">             </t>
    </r>
    <r>
      <rPr>
        <sz val="10"/>
        <rFont val="Arial Narrow"/>
        <family val="2"/>
      </rPr>
      <t> </t>
    </r>
  </si>
  <si>
    <r>
      <t xml:space="preserve">66% </t>
    </r>
    <r>
      <rPr>
        <sz val="12"/>
        <rFont val="Arial Narrow"/>
        <family val="2"/>
      </rPr>
      <t xml:space="preserve">≤ </t>
    </r>
    <r>
      <rPr>
        <sz val="10"/>
        <rFont val="Arial Narrow"/>
        <family val="2"/>
      </rPr>
      <t>75%</t>
    </r>
  </si>
  <si>
    <t>Sedang</t>
  </si>
  <si>
    <r>
      <t>(4)</t>
    </r>
    <r>
      <rPr>
        <sz val="7"/>
        <rFont val="Arial Narrow"/>
        <family val="2"/>
      </rPr>
      <t xml:space="preserve">             </t>
    </r>
    <r>
      <rPr>
        <sz val="10"/>
        <rFont val="Arial Narrow"/>
        <family val="2"/>
      </rPr>
      <t> </t>
    </r>
  </si>
  <si>
    <r>
      <t xml:space="preserve">51% </t>
    </r>
    <r>
      <rPr>
        <sz val="12"/>
        <rFont val="Arial Narrow"/>
        <family val="2"/>
      </rPr>
      <t xml:space="preserve">≤ </t>
    </r>
    <r>
      <rPr>
        <sz val="10"/>
        <rFont val="Arial Narrow"/>
        <family val="2"/>
      </rPr>
      <t>65%</t>
    </r>
  </si>
  <si>
    <t>Rendah</t>
  </si>
  <si>
    <r>
      <t>(5)</t>
    </r>
    <r>
      <rPr>
        <sz val="7"/>
        <rFont val="Arial Narrow"/>
        <family val="2"/>
      </rPr>
      <t xml:space="preserve">             </t>
    </r>
    <r>
      <rPr>
        <sz val="10"/>
        <rFont val="Arial Narrow"/>
        <family val="2"/>
      </rPr>
      <t> </t>
    </r>
  </si>
  <si>
    <r>
      <t>≤</t>
    </r>
    <r>
      <rPr>
        <sz val="10"/>
        <rFont val="Arial Narrow"/>
        <family val="2"/>
      </rPr>
      <t xml:space="preserve"> 50%</t>
    </r>
  </si>
  <si>
    <t>Sangat Rendah</t>
  </si>
  <si>
    <t>Dibuat Oleh :</t>
  </si>
  <si>
    <t>Di Evaluasi oleh :</t>
  </si>
  <si>
    <t>Kepala Bapelitbangda,</t>
  </si>
  <si>
    <t>Drs. DOHRI AS'ARI</t>
  </si>
  <si>
    <t>Pangkat :  Pembina Utama Muda</t>
  </si>
  <si>
    <t>NIP. 19670912 198811 1 003</t>
  </si>
  <si>
    <t>Evaluasi Hasil RKPD Tahun 2023</t>
  </si>
  <si>
    <t>Target Kinerja dan Anggaran Renja PD Tahun Berjalan yang Dievaluasi (2023)</t>
  </si>
  <si>
    <t>Realisasi Capaian Kinerja RPJMD sampai dengan RKPD Tahun Lalu  (n-0)</t>
  </si>
  <si>
    <t>Realisasi Capaian Kinerja dan Anggaran Renja SKPD yang Dievaluasi (2023)</t>
  </si>
  <si>
    <t>Tingkat Capaian Kinerja &amp; Realisasi Anggaran Renja PD yang dievaluasi tahun 2023</t>
  </si>
  <si>
    <t>Realisasi Kinerja &amp; Anggaran Renstra PD  2021 s/d 2026</t>
  </si>
  <si>
    <t>Tingkat Capaian Kinerja &amp; Realisasi Anggaran Renstra SKPD s/d Tahun 2026 (%)</t>
  </si>
  <si>
    <t>Unit SKPD Penanggung Jawab</t>
  </si>
  <si>
    <t>Jumlah sarana dan prasarana pendukung gedung kantor atau bangunan lainnya yang diadakan (unit)</t>
  </si>
  <si>
    <t>Jumlah dokumen RPB yang disusun sampai dinyatakan sah/legal (dokumen)</t>
  </si>
  <si>
    <t>Jumlah dokumen pemulihan rehabilitasi dan rekonstruksi pasca bencana yang disusun</t>
  </si>
  <si>
    <t>- Keterlambatan PPTK dalam perampungan administrasi keuangan (SPJ)</t>
  </si>
  <si>
    <t>TABEL PROGRAM PRIORITAS</t>
  </si>
  <si>
    <t>MISI/TUJUAN/SASARAN/PROGRAM PEMBANGUNAN</t>
  </si>
  <si>
    <t>INDIKATOR KINERJA (TUJUAN/IMPACT/OUTCOME)</t>
  </si>
  <si>
    <t>TARGET CAPAIAN KINERJA PROGRAM</t>
  </si>
  <si>
    <t>PERANGKAT DAERAH PENANGGUNG JAWAB</t>
  </si>
  <si>
    <t>MISI 3</t>
  </si>
  <si>
    <t>MENYEDIAKAN INFRASTRUKTUR DAERAH YANG MEMADAI DAN LINGKUNGAN YANG BERKUALITAS (M3)</t>
  </si>
  <si>
    <t>TUJUAN 3</t>
  </si>
  <si>
    <t>MENINGKATKAN KAPASITAS DAN KUALITAS INFRASTRUKTUR DAERAH SECARA BERKELANJUTAN (T3)</t>
  </si>
  <si>
    <t xml:space="preserve">Indeks daya saing infrastruktur daerah </t>
  </si>
  <si>
    <t>SASARAN 7</t>
  </si>
  <si>
    <t>TERPELIHARANYA KUALITAS LINGKUNGAN HIDUP DAN KETAHANAN BENCANA (S7)</t>
  </si>
  <si>
    <t>Indeks Risiko Bencana (IRB)</t>
  </si>
  <si>
    <t>Persentase warga negara yang memperoleh layanan pencegahan dan kesiapsiagaan terhadap bencana</t>
  </si>
  <si>
    <t>Persentase warga negara yang memperoleh layanan penyelamatan dan evakuasi korban bencana yang responsif gender</t>
  </si>
  <si>
    <t>Terdapat  penempatan alat deteksi gempa lokal sesar matano di 3 lokasi yaitu Desa Matompi Kec. Towuti, Desa Atue Kec. Malili dan Desa Kalpataru Kec. Tomoni, Penempatan alat deteksi banjir di Kec. Kalaena dan Alat Ina TEWS di Kantor BPBD untuk mendeteksi gempa bumi yang disebabkan oleh sesar-sesar dari luar Kab. Luwu Timur. Dan semua peralatan tersebut dapat memantau seluruh wilayah kabupaten Luwu Timur, dan dapat diasumsikan bahwa seluruh warga negara/masyarakat yang ada di Kab. Luwu Timur yang berjumlah 302.039 jiwa memperoleh layanan pencegahan dan kesiapsiagaan, sehingga capaian kinerjanya sebesar 100%</t>
  </si>
  <si>
    <t xml:space="preserve">LEMBAR KENDALI PERENCANAAN </t>
  </si>
  <si>
    <t xml:space="preserve">BADAN PENANGGULANGAN BENCANA DAERAH KABUPATEN LUWU TIMUR </t>
  </si>
  <si>
    <t>TAHUN ANGGARAN 2023</t>
  </si>
  <si>
    <t>Program/Kegiatan/Sub Kegiatan</t>
  </si>
  <si>
    <t>RPJMD 2023</t>
  </si>
  <si>
    <t>RENSTRA 2023</t>
  </si>
  <si>
    <t>RKPD 2023</t>
  </si>
  <si>
    <t>KUA 2023</t>
  </si>
  <si>
    <t>DPA 2023</t>
  </si>
  <si>
    <t>Indikator</t>
  </si>
  <si>
    <t>Target</t>
  </si>
  <si>
    <t xml:space="preserve">Pagu </t>
  </si>
  <si>
    <t>TOTAL BELANJA</t>
  </si>
  <si>
    <t>Persentase penunjang urusan perangkat daerah berjalan sesuai standar</t>
  </si>
  <si>
    <t>Persentase penyusunan dokumen perencanaan, penganggaran &amp; evaluasi tepat waktu</t>
  </si>
  <si>
    <t>Jumlah dokumen evaluasi kinerja pelayanan perangkat daerah yang disusun (Dokumen)</t>
  </si>
  <si>
    <t>Persentase administrasi keuangan yang terselenggara dengan baik</t>
  </si>
  <si>
    <t>Jumlah ASN yang gaji dan tunjangan terbayarkan (Orang)</t>
  </si>
  <si>
    <t>20 org</t>
  </si>
  <si>
    <t>16 org</t>
  </si>
  <si>
    <t>16 orang</t>
  </si>
  <si>
    <t>Koordinasi dan Penyusunan Laporan Keuangan Akhir Tahun SKPD</t>
  </si>
  <si>
    <t>Jumlah 
dokumen laporan keuanganakhir tahun SKPD yang disusun (Dokumen)</t>
  </si>
  <si>
    <t>Persentase BMD yang diadministrasikan sesuai standar</t>
  </si>
  <si>
    <t>Penyusunan Perencanaan Kebutuhan Barang Milik Daerah SKPD</t>
  </si>
  <si>
    <t>Jumlah dokumen perencanaan kebutuhan barang milik daerah SKPD yang disusun (Dokumen)</t>
  </si>
  <si>
    <t>Jumlah dokumen laporan penatausahaan barang milik daerah pada SKPD yang disusun (Dokumen)</t>
  </si>
  <si>
    <t>Rekonsiliasi dan Penyusunan Laporan Barang Milik Daerah pada SKPD</t>
  </si>
  <si>
    <t>Jumlah dokumen laporan hasil rekonsiliasi barang milik daerah pada SKPD (Dokumen)</t>
  </si>
  <si>
    <t>Persentase Rata-rata Capaian kinerja Administrasi Kepegawaian Perangkat Daerah</t>
  </si>
  <si>
    <t>Pengadaan Pakaian Dinas Beserta Atribut Kelengkapannya</t>
  </si>
  <si>
    <t>Jumlah pakaian dinas beserta atribut kelengkapannya yang 
diadakan</t>
  </si>
  <si>
    <t>18 Stel</t>
  </si>
  <si>
    <t>Jumlah ASN yang mengikuti bimbingan teknis implementasi peraturan perundang - undangan (orang)</t>
  </si>
  <si>
    <t>15 Orang</t>
  </si>
  <si>
    <t>Pendataan dan Pengolahan Administrasi Kepegawaian</t>
  </si>
  <si>
    <t>Jumlah laporan data adminitrasi kepegawaian yang dimuktahirkan (Laporan)</t>
  </si>
  <si>
    <t>1 Laporan</t>
  </si>
  <si>
    <t>Persentase Rata- Rata Capaian Kinerja administrasi umum Perangkat Daerah</t>
  </si>
  <si>
    <t>8 jenis</t>
  </si>
  <si>
    <t>20 jenis</t>
  </si>
  <si>
    <t>3 jenis</t>
  </si>
  <si>
    <t>60 ekps</t>
  </si>
  <si>
    <t>275 org</t>
  </si>
  <si>
    <t>Jumlah rapat koordinasi dan konsultasi SKPD yang diikutin (kali)</t>
  </si>
  <si>
    <t>50 Kali</t>
  </si>
  <si>
    <t>58 Kali</t>
  </si>
  <si>
    <t>Penatausahaan Arsip Dinamis pada SKPD</t>
  </si>
  <si>
    <t>Jumlah dokumen laporan hasil penatausahaan arsip dinamis pada SKPD (Dokumen)</t>
  </si>
  <si>
    <t>Persentase BMD-Perangkat Daerah penunjang yang terpenuhi</t>
  </si>
  <si>
    <t>Jumlah Peralatan/Mesin Lainnya yang diadakan</t>
  </si>
  <si>
    <t>15 Unit</t>
  </si>
  <si>
    <t>Jumlah Mebel yang diadakan</t>
  </si>
  <si>
    <t>10 Unit</t>
  </si>
  <si>
    <t>4 unit</t>
  </si>
  <si>
    <t>1 unit</t>
  </si>
  <si>
    <t>6 unit</t>
  </si>
  <si>
    <t>3 unit</t>
  </si>
  <si>
    <t>Pengadaan Kendaraan Dinas Operasional atau Lapangan</t>
  </si>
  <si>
    <t>Jumlah kendaraan dinas yang diadakan (Unit)</t>
  </si>
  <si>
    <t>Jumlah pengadaan gedung kantor atau bangunan lainnya (Unit)</t>
  </si>
  <si>
    <t>Persentase Rata-Rata Capaian Kinerja jasa penunjang urusan pemerintahan daerah</t>
  </si>
  <si>
    <t>400 surat</t>
  </si>
  <si>
    <t>Penyediaan Jasa Komunikasi, Sumber Daya Air dan Listrik</t>
  </si>
  <si>
    <t>36 rekening</t>
  </si>
  <si>
    <t>Jumlah jasa tenaga pelayanan umum kantor yang dibayarkan (orang)</t>
  </si>
  <si>
    <t>2 org</t>
  </si>
  <si>
    <t>Persentase Barang Milik Daerah penunjang urusan pemerintahan yang terpelihara dengan baik</t>
  </si>
  <si>
    <t>Penyediaan Jasa Pemeliharaan, Biaya Pemeliharaan, Pajak, dan Perizinan Kendaraan Dinas Operasional atau Lapangan</t>
  </si>
  <si>
    <t>13 unit</t>
  </si>
  <si>
    <t>105 unit</t>
  </si>
  <si>
    <t>79 unit</t>
  </si>
  <si>
    <t>25 unit</t>
  </si>
  <si>
    <t>2 unit</t>
  </si>
  <si>
    <t>Penyusunan Kajian resiko bencana Kabupaten/Kota</t>
  </si>
  <si>
    <t>Jumlah dokumen KRB yang disusun sampai dinyatakan sah/legal</t>
  </si>
  <si>
    <t>1 dokumen</t>
  </si>
  <si>
    <t>Jumlah peserta sosialisasi kebencanaan (Orang)</t>
  </si>
  <si>
    <t>350 orang</t>
  </si>
  <si>
    <t>250 orang</t>
  </si>
  <si>
    <r>
      <rPr>
        <i/>
        <sz val="8"/>
        <rFont val="Arial Narrow"/>
        <family val="2"/>
      </rPr>
      <t>(1)</t>
    </r>
    <r>
      <rPr>
        <sz val="8"/>
        <rFont val="Arial Narrow"/>
        <family val="2"/>
      </rPr>
      <t xml:space="preserve"> Cakupan warga negara yang memperoleh layanan pencegahan dan kesiapsiagaan terhadap bencana, </t>
    </r>
    <r>
      <rPr>
        <i/>
        <sz val="8"/>
        <rFont val="Arial Narrow"/>
        <family val="2"/>
      </rPr>
      <t xml:space="preserve">(2) </t>
    </r>
    <r>
      <rPr>
        <sz val="8"/>
        <rFont val="Arial Narrow"/>
        <family val="2"/>
      </rPr>
      <t>Persentase dokumen pemulihan pasca bencana yang disusun</t>
    </r>
  </si>
  <si>
    <t>2.12% dan 100%</t>
  </si>
  <si>
    <t>200 orang</t>
  </si>
  <si>
    <t>50 orang</t>
  </si>
  <si>
    <t>Jumlah sarana dan Prasarana penanggulangan bencana yang diadakan (unit)</t>
  </si>
  <si>
    <t>21 unit</t>
  </si>
  <si>
    <t xml:space="preserve">Jumlah desa tangguh bencana yang di bentuk </t>
  </si>
  <si>
    <t>4 Desa</t>
  </si>
  <si>
    <t>50 org</t>
  </si>
  <si>
    <t>500 orang</t>
  </si>
  <si>
    <t>Jumlah dokumen RPB yang disusun sampai dinyatakan sah/legal (dok)</t>
  </si>
  <si>
    <t>Persentase jumlah petugas yang aktif dalam penanganan darurat bencana (%)</t>
  </si>
  <si>
    <t xml:space="preserve">Penyusunan Regulasi Penanggulangan Bencana Kabupaten/Kota </t>
  </si>
  <si>
    <t>Jumlah regulasi penanggulangan bencana Kabupaten/Kota yang disusun (dokumen)</t>
  </si>
  <si>
    <t>3 dokumen</t>
  </si>
  <si>
    <t>Jumlah Forum PRB yang dibentuk dan difasilitasi (Lembaga)</t>
  </si>
  <si>
    <t>Pembinaan dan Pengawasan Penyelenggaraan Penanggulangan Bencana</t>
  </si>
  <si>
    <t>Jumlah laporan hasil pembinaan dan pengawasan penyelenggaraan penanggulangan bencana yang disusun</t>
  </si>
  <si>
    <t>Pengelolaan dan Pemanfaatan Sistem Informasi Kebencanaa</t>
  </si>
  <si>
    <t>Jumlah sistem peringatan dini cuaca dan iklim serta kebencanaan yang dikelola dan dimanfaatkan (unit)</t>
  </si>
  <si>
    <t>7 Unit</t>
  </si>
  <si>
    <r>
      <rPr>
        <i/>
        <sz val="8"/>
        <rFont val="Arial Narrow"/>
        <family val="2"/>
      </rPr>
      <t>(1)</t>
    </r>
    <r>
      <rPr>
        <sz val="8"/>
        <rFont val="Arial Narrow"/>
        <family val="2"/>
      </rPr>
      <t xml:space="preserve"> Jumlah dokumen pemulihan rehabilitasi pasca bencana yang disusun, </t>
    </r>
    <r>
      <rPr>
        <i/>
        <sz val="8"/>
        <rFont val="Arial Narrow"/>
        <family val="2"/>
      </rPr>
      <t xml:space="preserve">(2) </t>
    </r>
    <r>
      <rPr>
        <sz val="8"/>
        <rFont val="Arial Narrow"/>
        <family val="2"/>
      </rPr>
      <t>Jumlah dokumen pemulihan rekonstruksi pasca bencana yang disusun</t>
    </r>
  </si>
  <si>
    <t>TOTAL PROGRAM</t>
  </si>
  <si>
    <t>TOTAL KEGIATAN</t>
  </si>
  <si>
    <t>TOTAL SUB KEGIATAN</t>
  </si>
  <si>
    <t>Catatan:</t>
  </si>
  <si>
    <t>-Tuliskan seluruh nama program dan kegiatan, lengkapi indikator, target dan satuanya serta pagunya.</t>
  </si>
  <si>
    <t>-Berikan penjelasan pada kolom penjelasan yang menerangkan alasan bertambah dan berkurang, item apa saja yang ber+ maupun ber-, siapa yang mengusulkan; kalaupun bertambah pagunya, maka kegiatan/program apa yang dirasionalisasi? Serta informasi penting lainnya</t>
  </si>
  <si>
    <t>MATRIKS LKPJ TAHUN 2023</t>
  </si>
  <si>
    <t>Kode Urusan</t>
  </si>
  <si>
    <t>Urusan Pemerintahan</t>
  </si>
  <si>
    <t>Organisasi Perangkat daerah</t>
  </si>
  <si>
    <t>Arah Kebijakan (Bab 5 Renstra)</t>
  </si>
  <si>
    <t>Program/Kegiatan/Subkegiatan</t>
  </si>
  <si>
    <t>Tingkat Capaian(9/8*100)</t>
  </si>
  <si>
    <t>Permasalahan</t>
  </si>
  <si>
    <t>Upaya Mengatasi Permasalahan</t>
  </si>
  <si>
    <t>Tindak Lanjut Rekomendasi DPRD</t>
  </si>
  <si>
    <t>Penjelasan Terhadap Realisasi Program/Kegiatan/Subkegiatan</t>
  </si>
  <si>
    <t>Ketentraman,  Ketertiban Umum dan Perlindungan Masyarakat</t>
  </si>
  <si>
    <t>Badan Penanggulangan Bencana Daerah</t>
  </si>
  <si>
    <t>Memaksimalkan penyebarluasan informasi rawan bencana melalui Pusdalops BPBD, Memaksimalkan pelaksanaan pendampingan Mitigasi Bencana di Desa-desa melalui Dana BKK</t>
  </si>
  <si>
    <t>Penyusunan Kajian Risiko Bencana</t>
  </si>
  <si>
    <t>Mengoptimalkan bimbingan, pendidikan dan pelatihan serta pembinaan teknis bagi aparatur dan masyarakat tentang penanggulangan bencana</t>
  </si>
  <si>
    <t xml:space="preserve">Cakupan warga negara yang memperoleh layanan pencegahan dan kesiapsiagaan terhadap bencana, </t>
  </si>
  <si>
    <t>Persentase dokumen pemulihan pasca bencana yang disusun</t>
  </si>
  <si>
    <t>Penyusunan Rencana Penanggulangan Bencana Kabupaten Kota</t>
  </si>
  <si>
    <t>Menyelenggarakan Pembentukan Desa Tangguh Bencana</t>
  </si>
  <si>
    <t>Peningkatan upaya penyelamatan dan evakuasi korban bencana</t>
  </si>
  <si>
    <t>Pemenuhan Kebutuhan Dasar pada saat tanggap darurat bencana</t>
  </si>
  <si>
    <t>Pemenuhan informasi kebencanaan sebagai early warning sistem terhadap ancaman bencana yang ada</t>
  </si>
  <si>
    <t>Penetapan regulasi dalam mendukung penyelenggaraan penanggulangan bencana</t>
  </si>
  <si>
    <t>Pemenuhan sarana dan prasarana pasca bencana</t>
  </si>
  <si>
    <t>Jumlah dokumen pemulihan rehabilitasi pasca bencana yang disusun (dokumen)</t>
  </si>
  <si>
    <t xml:space="preserve"> Jumlah dokumen pemulihan rekonstruksi pasca bencana yang disusun (dokumen)</t>
  </si>
  <si>
    <t>Program Penunjang Urusan Pemerintahan Daerah Kab/Kota</t>
  </si>
  <si>
    <t>Peningkatan sistem perencanaan dan penganggaran serta evaluasi kinerja perangkat daerah</t>
  </si>
  <si>
    <t>Jumlah dokumen Perencanaan Yang disusun Tepat Waktu</t>
  </si>
  <si>
    <t>Jumlah dokumen RKA- SKPD yang disusun Tepat Waktu (dokumen)</t>
  </si>
  <si>
    <t>Jumlah dokumen DPA- SKPD yang disusun Tepat waktu (dokumen)</t>
  </si>
  <si>
    <t>Peningkatan sistem administrasi keuangan perangkat daerah</t>
  </si>
  <si>
    <t>Terdapat jabatan fungsional penyetaraan dan staf (pengurus barang) yang masih kosong</t>
  </si>
  <si>
    <t>Telah dilakukan persuratan terkait permintaan staf</t>
  </si>
  <si>
    <t>Jumlah dokumen laporan keuangan bulanan/triwulanan/semesteran SKPD yang disusun Tepat Waktu (dokumen)</t>
  </si>
  <si>
    <t>Peningkatan sistem administrasi dan penatausahaan Barang Milik Daerah</t>
  </si>
  <si>
    <t>Kegiatan Administrasi Barang Milik Daerah pada Perangkat Daerah</t>
  </si>
  <si>
    <t>Jumlah dokumen laporan penatausahaan barang milik daerah pada SKPD yang disusun (dokumen)</t>
  </si>
  <si>
    <t>Peningkatan sistem administrasi kepegawaian perangkat daerah</t>
  </si>
  <si>
    <t>Peningkatan sistem administrasi umum perangkat daerah</t>
  </si>
  <si>
    <t>Jumlah komponen instalasi listrik/penerangan bangunan kantor yang di sediakan (jenis)</t>
  </si>
  <si>
    <t>Jumlah bahan logistik kantor yang disediakan (jenis)</t>
  </si>
  <si>
    <t>Jumlah Penyediaan bahan bacaan dan peraturan perundang- undangan (eksamplar)</t>
  </si>
  <si>
    <t>Jumlah tamu yang difasilitasi (Orang)</t>
  </si>
  <si>
    <t>Pengadaan mebel</t>
  </si>
  <si>
    <t>Jumlah sarana dan prasarana gedung kantor atau bangunan lainnya yang diadakan (Unit)</t>
  </si>
  <si>
    <t>Jumlah surat masuk dan keluar yang diadministrasikan (Surat)</t>
  </si>
  <si>
    <t>Jumlah rekening telepon, listrik dan air yang terbayarkan (Rekening)</t>
  </si>
  <si>
    <t>Kegiatan Pemeliharaan Barang Milik Daerah Penunjang Urusan Pemerintahan Daerah</t>
  </si>
  <si>
    <t>Penyediaan Jasa Pemeliharaan, Biaya Pemeliharaan, Pajak dan Perizinan Kendaraan Dinas Operasional atau Lapangan</t>
  </si>
  <si>
    <t>Jumlah kendaraan operasional atau lapangan yang dipelihara (unit)</t>
  </si>
  <si>
    <t>Jumlah peralatan dan mesin lainnya yang dipelihara (Unit)</t>
  </si>
  <si>
    <t>Jumlah gedung kantor dan/atau bangunan lainnya yang dipelihara/direhabilitasi (Unit)</t>
  </si>
  <si>
    <t>Keterangan :</t>
  </si>
  <si>
    <t>Kolom 1 Berisikan Nomor Kode Urusan</t>
  </si>
  <si>
    <t xml:space="preserve">Kolom 2 Berisikan Nama Urusan </t>
  </si>
  <si>
    <t>Kolom 3 Berisikan Nama Perangkat Daerah Pengampu Urusan</t>
  </si>
  <si>
    <t xml:space="preserve">Kolom 4 Berisikan Arah Kebijakan yang menjadi dasar pelaksanaan Program, Kegiatan dan Subkegiatan (lihat pada BAB V Renstra Perangkat Daerah) </t>
  </si>
  <si>
    <t>Kolom 5 Berisikan nama program</t>
  </si>
  <si>
    <t>Kolom 6 Berisikan nama Kegiatan</t>
  </si>
  <si>
    <t>Kolom 7 Berisikan nama Subkegiatan</t>
  </si>
  <si>
    <t>Kolom 8 Berisikan Indikator yang ada pada DPA Perangkat Daerah</t>
  </si>
  <si>
    <t>Kolom 9 Berisikan nilai Target Program/Kegiatan/Subkegiatan yang ada pada DPA Perangkat Daerah</t>
  </si>
  <si>
    <t>Kolom 10 Berisikan Realisasi Program/Kegiatan/Subkegiatan yang telah dicapai</t>
  </si>
  <si>
    <t>Kolom 11 Berisikan tingkat capaian dari realisasi terhadap target yang telah ditentukan (9/8*100)</t>
  </si>
  <si>
    <t>Kolom 12 Berisikan Permasalahan Program/Kegiatan/Subkegiatan yang tidak memenuhi target (tingkat capaian dibawah 100%)</t>
  </si>
  <si>
    <t>Kolom 13 Berisikan Upaya Perangkat Daerah dalam mengatasi permasalahan yang muncul terhadap tidak tercapainya target</t>
  </si>
  <si>
    <t>Kolom 14 Berisikan rekomendasi DPRD yang disampaikan melalui Rapat Dengar Pendapat, Reses atau Pandangan pada rapat-rapat paripurna dan telah ditindaklanjuti pada tahun 2022</t>
  </si>
  <si>
    <t>Kolom 15 Berisikan Penjelasan terhadap item kegiatan dari Program/Kegiatan/Subkegiatan yang terealisasi pada kolom realisasi</t>
  </si>
  <si>
    <t>PERMASALAHAN DAN SOLUSI</t>
  </si>
  <si>
    <t>KODE KEGIATAN</t>
  </si>
  <si>
    <t>PROGRAM/KEGIATAN</t>
  </si>
  <si>
    <t>PERMASALAHAN TERKAIT PENCAPAIAN KINERJA (SECARA TEKNIS BAIK FAKTOR INTERNAL MAUPUN FAKTOR EKSTERNAL)</t>
  </si>
  <si>
    <t>PERMASALAHAN TERKAIT REALISASI KEUANGAN</t>
  </si>
  <si>
    <t>SOLUSI</t>
  </si>
  <si>
    <t>(1)</t>
  </si>
  <si>
    <t>(2)</t>
  </si>
  <si>
    <t>(3)</t>
  </si>
  <si>
    <t>(4)</t>
  </si>
  <si>
    <t>(5)</t>
  </si>
  <si>
    <t>URUSAN PEMERINTAHAN WAJIB YANG BERKAITAN DENGAN PELAYANAN DASAR</t>
  </si>
  <si>
    <t>Perencanaan, Penganggaran, dan Evaluasi Kinerja Perangkat Daerah</t>
  </si>
  <si>
    <t>Agar PPTK segera merampungkan SPJ pertanggungjawaban keuangan</t>
  </si>
  <si>
    <t>Administrasi Barang Milik  Daerah pada SKPD</t>
  </si>
  <si>
    <t xml:space="preserve">Indikator out put sub kegiatan yaitu Jumlah komponen instalasi listrik/penerangan bangunan kantor yang di sediakan sebanyak 8 jenis,namun belum terealisasi (0%), </t>
  </si>
  <si>
    <t>Agar PPTK untek tetap melakukan identifikasi terkait kebutuhan komponen instalasi/penerangan bangunan kantor</t>
  </si>
  <si>
    <t>Agar PPTK segera merampungkan SPJ pertanggungjawaban keuangan untuk direalisasikan</t>
  </si>
  <si>
    <t>Indikator output sub kegiatan adalah Jumlah Barang cetakan dan/atau penggandaan yang disediakan sebanyak 3 jenis setiap triwulan, dan terealisasi 100% yaitu cetak, jilid dan penggandaan</t>
  </si>
  <si>
    <t>Agar PPTK mencermati anggaran kas yang telah direncanakan serta pemenuhan target kinerja sesuai rencana aksi</t>
  </si>
  <si>
    <t>Penyediaan Jasa Pemeliharaan, Biaya Pemeliharaan, dan Pajak Kendaraan Perorangan Dinas atau Kendaraan Dinas Jabatan</t>
  </si>
  <si>
    <t>Penyusunan Rencana Penanggulangan Bencana</t>
  </si>
  <si>
    <t>Indikator output sub kegiatan adalah Jumlah dokumen RPB yang disusun sampai dinyatakan sah/legal, target penyelesaian dokumen RPB pada Triwulan IV.</t>
  </si>
  <si>
    <t>Indikator output sub kegiatan adalah Jumlah aparatur dan warga Negara yang ikut pelatihan, dengan target sebanyak 50 orang. Berdasarkan anggaran kas maka sub kegiatan ini akan dilaksanakan pada Triwulan III TA. 2023</t>
  </si>
  <si>
    <t>Indikator output sub kegiatan adalah Jumlah dokumen renkon yang disusun sampai dinyatakan sah/legal, target penyelesaian dokumen renkon pada Triwulan IV T.A 2023</t>
  </si>
  <si>
    <t>Indikator output sub kegiatan adalah Jumlah warga negara yang ikut pelatihan dengan target 250 org. Berdasarkan anggaran kas maka sub kegiatan ini akan dilaksanakan pada Triwulan IV TA. 2023</t>
  </si>
  <si>
    <t>Indikator Sub Kegiatan adalah Jumlah regulasi penanggulangan bencana Kabupaten/Kota yang disusun sebanyak 3 dokumen.  Berdasarkan anggaran kas, sub kegiatan direncanakan pada Triwulan III TA. 2022</t>
  </si>
  <si>
    <t>SEKRETARIAT</t>
  </si>
  <si>
    <t>Jumardin ( 8 kegiatan)</t>
  </si>
  <si>
    <t>Chalijah ( 13 kegiatan</t>
  </si>
  <si>
    <t>BIDANG I</t>
  </si>
  <si>
    <t>Hera  ( 2 kegiatan)</t>
  </si>
  <si>
    <t>Ahmad ( 2 kegiatan)</t>
  </si>
  <si>
    <t>BIDANG II</t>
  </si>
  <si>
    <t>Hj. Junarmi ( 2 kegiatan</t>
  </si>
  <si>
    <t>I Kadek ( 2 kegiatan</t>
  </si>
  <si>
    <t>BIDANG III</t>
  </si>
  <si>
    <t>Bannawaty ( 3 kegiatan)</t>
  </si>
  <si>
    <t>2 PROGRAM</t>
  </si>
  <si>
    <t>6 KEGIATAN</t>
  </si>
  <si>
    <t>32 SUB KEGIATAN</t>
  </si>
  <si>
    <t>Adanya  penempatan alat deteksi gempa lokal sesar matano di 3 lokasi yaitu Desa Matompi Kec. Towuti, Desa Atue Kec. Malili dan Desa Kalpataru Kec. Tomoni, Penempatan alat deteksi banjir di Kec. Kalaena dan Alat Ina TEWS untuk mendeteksi gempa bumi yang disebabkan oleh sesar-sesar dari luar Kab. Luwu Timur. Dan semua peralatan tersebut dapat memantau seluruh wilayah kabupaten Luwu Timur</t>
  </si>
  <si>
    <t xml:space="preserve">Berdasarkan anggaran kas, sub kegiatan Sosialisasi, Komunikasi, Informasi dan Edukasi (KIE) Rawan Bencana direncanakan pelaksanaannya pada Triwulan II TA. 2023 </t>
  </si>
  <si>
    <t xml:space="preserve">Berdasarkan anggaran kas, sub kegiatan Penyusunan Kajian Risiko Bencana direncanakan pelaksanaannya pada Triwulan II TA. 2023 </t>
  </si>
  <si>
    <t>Berdasarkan anggaran kas, Sub kegiatan Penyusunan RPB direncanakan pada Triwulan III dan dokumen rampung pada Triwulan IV TA. 2023 (Oktober)</t>
  </si>
  <si>
    <t>Berdasarkan anggaran sub kegiatan ini direncanakan pada Triwulan III TA. 2023 (September)</t>
  </si>
  <si>
    <t xml:space="preserve">Berdasarkan anggaran sub kegiatan ini direncanakan pada Triwulan II TA. 2023. </t>
  </si>
  <si>
    <t>Berdasarkan anggaran sub kegiatan ini direncanakan pada Triwulan III TA. 2023 (Juli). Pembentukan Desa Tangguh Bencana (DESTANA) sebanyak 2 desa yaitu : Desa Langkea Raya Kec. Towuti dan Desa Atue Kec. Malili</t>
  </si>
  <si>
    <t>Berdasarkan anggaran sub kegiatan ini direncanakan pada Triwulan II TA. 2023 (Juni)</t>
  </si>
  <si>
    <t>Berdasarkan anggaran sub kegiatan ini direncanakan pada Triwulan III s.d IV  TA. 2023.(Nopember)</t>
  </si>
  <si>
    <t>Berdasarkan anggaran sub kegiatan ini direncanakan pada Triwulan III  TA. 2023.(Oktober) dirangkaikan dengan Hari Pengurangan Risiko Bencana dan Gelar Pasukan</t>
  </si>
  <si>
    <t xml:space="preserve"> jumlah korban bencana pada bulan Januari s.d Maret 2023 sebanyak  35 jiwa (19 Laki-laki dan 35 Perempuan) dan semuanya diberikan bantuan logistik baik itu berupa sandang pangan dan hunian sementara (tenda).</t>
  </si>
  <si>
    <t>Pelaksanaan  koordinasi sistem komando oleh pusdalops penanggulangan bencana dalam penyiapan petugas penanganan darurat bencana pada bulan januari s.d Maret 2023 sebanyak 40 personil dan semuanya aktif dalam penanggulangan bencana</t>
  </si>
  <si>
    <t xml:space="preserve">Berdasarkan anggaran kas, sub kegiatan ini direncanakan pada triwulan II TA. 2023. Dan saat ini beberapa rancangan perbup telah disusun dan dalam proses asistensi di bagian Hukum </t>
  </si>
  <si>
    <t>Terdapat Perda Penanggulangan Bencana yang belum diltindaklanjuti dengan penyusunan Perpub</t>
  </si>
  <si>
    <t>Telah dilakukan persuratan kepada bidang terkait untuk segera menyusun perbup</t>
  </si>
  <si>
    <t xml:space="preserve">Sub kegiatan ini direncanakan pada Triwulan I TA. 2023, dan saat ini proses pengajuan nota dinas telah selesai dan rencana pelaksanaan Lokakarya pada Minggu II Mei Tahun 2023 </t>
  </si>
  <si>
    <t>Penyusunan dokumen RKA-SKPD Tahun 2024 dan RKA-P  Tahun 2023 direncanakan pada Triwulan III &amp; IV TA. 2023</t>
  </si>
  <si>
    <t>Telah dilakukan Penyusunan dokumen DPA-SKPD Tahun 2023</t>
  </si>
  <si>
    <t>Penyediaaan barang cetakan seperti spanduk,, cek Cek, fotocopy dan jilid laporan</t>
  </si>
  <si>
    <t>Penyediaan bahan bacaan/surat kabar  (koran) sebanyak 15 expl terdiri dari koran lokal 3 expl, koran nasional 3 expl, koran regional 9 expl</t>
  </si>
  <si>
    <r>
      <t xml:space="preserve">Realisasi </t>
    </r>
    <r>
      <rPr>
        <sz val="8"/>
        <rFont val="Calibri"/>
        <family val="2"/>
      </rPr>
      <t>&lt;</t>
    </r>
    <r>
      <rPr>
        <sz val="8.8000000000000007"/>
        <rFont val="Calibri"/>
        <family val="2"/>
      </rPr>
      <t>100% karena pemeliharaan/perbaikan disesuaikan dengan kondisi kendaraan dinas</t>
    </r>
  </si>
  <si>
    <t>Indikator output sub kegiatan adalah Jumlah dokumen RKA- SKPD yang disusun tepat waktu  sebanyak 2 dokumen, direncanakan pada Triwulan III TA. 2023</t>
  </si>
  <si>
    <t>Indikator output  sub kegiatan adalah Jumlah ASN yang gaji dan tunjangan terbayarkan sebanyak 16 org dan terealisasi hanya 12 org sehingga capaian kinerja  75 %. Hal ini  disebabkan karena adanya jabatan struktural eselon III dan staf yang belum terisi</t>
  </si>
  <si>
    <t>Bimbingan Teknis Implementasi peraturan perundang-undangan</t>
  </si>
  <si>
    <t>MASDIN AP., M.Si</t>
  </si>
  <si>
    <t>Beberapa sub kegiatan pendukung, direncanakan pelaksanaannya pada Triwulan II dan III TA. 2023</t>
  </si>
  <si>
    <t>Capaian kinerja administrasi keuangan perangkat daerah hanya sebesar 22.65%, hal ini disebabkan karena  salah satu sub kegiatan yaitu Penyediaan Gaji dan Tunjangan realisasinya tidak sesuai target penyebabnya adalah terdapat beberapa jabatan fungsional penyetaraan dan jabatan pelaksana (pengurus barang) yang belum terisi personil</t>
  </si>
  <si>
    <t>Pembayaran gaji dan tunjangan untuk 12 org ASN yaitu Eselon II 1 org, Eselon III 4 org, Eselon IV 3 org, Fungsional 3 org dan Staf 1 org.</t>
  </si>
  <si>
    <t>Dilakukan Perbaikan peralatan bencana dan peralatan kantor yaitu AC 1 unit, printer 3 unit, Laptop 2 unit, chainsaw 4 unit, Mesin Babat 1 unit, genset 2 unit</t>
  </si>
  <si>
    <t>Perbaikan gedung kantor disesuaikan dengan kondisi gedung kantor</t>
  </si>
  <si>
    <t xml:space="preserve">catatan : buatkan format untuk merekap target dan realisasi 5 tahun </t>
  </si>
  <si>
    <t>SAMPAI DENGAN 30 JUNI 2023</t>
  </si>
  <si>
    <t>CAPAIAN S.D TW II</t>
  </si>
  <si>
    <t>Malili, 10 Juli 2023</t>
  </si>
  <si>
    <t>Sub kegiatan ini telah dilaksanakan pada tanggal 20 Juni 2023 dan dihadiri oleh Tim Pengerak PKK se-Kabupaten Luwu Timur dan organisasi wanita, mulai dari tingkat desa, kecamatan sampai dengan tingkat kabupaten dengan jumlah peserta sebanyak 250 org, namun pertanggungjawaban keuangan baru direalisasikan di Bulan Juli 2023.</t>
  </si>
  <si>
    <t>TRIWULAN II</t>
  </si>
  <si>
    <t>Malili,  10 Juli 2023</t>
  </si>
  <si>
    <t>BADAN PENANGGULANGAN BENCANA DAERAH KABUPATEN LUWU TIMUR SAMPAI DENGAN 30 JUNI 2023</t>
  </si>
  <si>
    <t>Dengan perhitungan bahwa jumlah korban bencana bulan Januari s.d Juni 2023 sebanyak  1.190 jiwa (590 Laki-laki dan 600 Perempuan) dan semuanya memperoleh layanan penyelamatan dan evakuasi.</t>
  </si>
  <si>
    <t>Penyampaian informasi melalui PUSDALOPS BPBD 6.002 org, Penyampaian informasi melalui Papan himbauan informasi bencana yang ditempatkan di 8 kecamatan  yang berpotensi tersampaikan kepada 200.955 org dan pelaksanaan Sosialisasi KIE Rawan Bencana sebanyak 250 org  dengan akumulasi secara keseluruhan sebesar  200.955 org dibagi jumlah penduduk Kab. Luwu Timur 302.039 jiwa = 66,53%</t>
  </si>
  <si>
    <t xml:space="preserve"> LAPORAN REALISASI ANGGARAN</t>
  </si>
  <si>
    <t>SAMPAI DENGAN 30 JUNI  2023</t>
  </si>
  <si>
    <t xml:space="preserve">Jumlah Anggaran Pokok                              Rp                 </t>
  </si>
  <si>
    <t>JumlahTarget Triwulan I,II (Berdasarkan Anggaran Kas)</t>
  </si>
  <si>
    <t>Realisasi Anggaran TW I</t>
  </si>
  <si>
    <t>Realisasi Anggaran TW II</t>
  </si>
  <si>
    <t>Realisasi Anggaran TW III</t>
  </si>
  <si>
    <t>Realisasi Anggaran TW IV</t>
  </si>
  <si>
    <t>Jumlah Realisasi TW I dan II</t>
  </si>
  <si>
    <t xml:space="preserve">Sisa Anggaran    </t>
  </si>
  <si>
    <t>Malili,  30 Juni  2023</t>
  </si>
  <si>
    <t>Penempatan  Papan himbauan informasi bencana di 8 kecamatan serta Penyebarluasan Informasi melalui Sosial Media (Pusdalops BPBD) dan telah dilaksanakan Sosialisasi Komunikasi, Edukasi (KIE) Rawan Bencana</t>
  </si>
  <si>
    <t xml:space="preserve">Keterbatasan sarana dan prasarana penyebaran informasi kebencanaan (terdapat papan himbauan informasi bencana yang rusak) dan pelaksanaan Sosialisasi KIE Rawan Bencana </t>
  </si>
  <si>
    <t xml:space="preserve">Jumlah korban bencana bulan januari s.d Juni 2023 sebanyak 1.190 jiwa (590 Laki-laki dan 600 Perempuan) dan semuanya diberikan layanan penyelamatan dan evakuasi, terdiri dari penyelamatan &amp; evakuasi korban bencana kebakaran rumah 67 org, cuaca ekstrim 69 org dan orang hilang 9 org, Banjir 1025 org, Tanah Longsor 20 org, </t>
  </si>
  <si>
    <t>saat ini masih dalam proses verifikasi draf SK Tim Teknis dan Tim Penyusun Dokumen di Bagian Hukum Sekretariat Daerah Kab. Luwu Timur</t>
  </si>
  <si>
    <t>Sub Kegiatan Sosialisasi, Komunikasi, Informasi dan Edukasi (KIE) Rawan Bencana Kabupaten/Kota, telah dilaksanakan pada tanggal 20 Juni 2023 sesuai dengan anggaran kas namun pertanggungjawabannya baru akan di GU-kan di awal Bulan Juli 2023</t>
  </si>
  <si>
    <t>untuk segera dipertanggungjawabkan administrasi keuangan diawal bulan juli 2023</t>
  </si>
  <si>
    <t>Peralatan yang direncanakan adalah pengadaan perahu karet, direncanakan pada triwulan II TA. 2023, namun belum terealisasi, karena belum tersedia dalam e-catalog dan saat ini masih dikoordinasikan dengan pejabat pengadaan(UKPBJ</t>
  </si>
  <si>
    <t>untuk segera dikonsultasikan dengan pejabat pengadaan kemungkinan untuk pengadaan melalui Mbizmarket</t>
  </si>
  <si>
    <t>Sub Kegiatan Pengembangan Kapasitas Tim Reaksi Cepat (TRC) Bencana Kabupaten/Kota, berdasarkan anggan kas sub kegiatan ini direncanakan pada triwulan II TA. 2023, namun belum terealisasi karena penyesuaian kesediaan narasumber. Dan direncanakan pelaksanaannya pada Minggu II Bulan Juli 2023</t>
  </si>
  <si>
    <t xml:space="preserve">untuk segera dilaksanakan </t>
  </si>
  <si>
    <t>Jumlah kejadian bencana  yang terjadi pada bulan januari s.d Juni 2023  (207  kejadian) yaitu Orang Hilang 9 kejadian, Kebakaran Rumah 5 kejadian, Angin Kencang (cuaca ekstrim 4 kejadian dan Gempa Bumi 182 kejadian, banjir 8 kejadian dan longsor 3 kejadian dan semuanya direspon kurang dari 24 jam ketika laporan diterima dan dilakukan kaji cepat</t>
  </si>
  <si>
    <t>Jumlah korban bencana bulan januari s.d Juni 2023 sebanyak 1.190 jiwa (590 Laki-laki dan 600 Perempuan) dan semuanya diberikan layanan penyelamatan dan evakuasi terhadap korban bencana.</t>
  </si>
  <si>
    <t>Pada periode s.d Triwulan II tidak ada Masyarakat yang terkonfirmasi covid-19 (meninggal)  yang diterima oleh TRC BPBD. Namun BPBD tetap siaga dalam mengantisipasi jika sewaktu-waktu terdapat korban covid-19 dan akan direspon kurang dari 24 jam setiap laporan yang diterima oleh TRC.</t>
  </si>
  <si>
    <t>saat ini masih dalam tahap identifikasi stakeholder/Akademisi/Tokoh Masyarakat/Relawan yang akan dilibatkan dalam pembentukan Forum PRB ditingkat kabupaten</t>
  </si>
  <si>
    <t>Indikator output sub kegiatan yaitu Jumlah dokumen perencanaan yang disusun tepat waktu sebanyak 2 dokumen. Berdasarkan anggaran kas, output sub kegiatan direncanakan pada triwulan II TA. 2023 sebanyak 1 dokumen dan telah terealisasi 1 dokumen yaitu dokumen renja pokok 2024 dengan capaian kinerja 100%</t>
  </si>
  <si>
    <t>Target output sub kegiatan s.d triwulan II yaitu tersusunnya dokumen DPA-SKPD Tahun 2023 dengan capaian kinerja 100%</t>
  </si>
  <si>
    <t>Target output sub kegiatan s.d triwulan II yaitu tersusunnya 6 dokumen yaitu LKPJ, LPPD, LAKIP dan Laporan Evaluasi Kinerja TW 4 TA. 2022, Laporan Evaluasi RKPD TW I TA. 2023 dan Laporan Kinerja Triwulan I TA. 2023 dengan capaiani kinerja 100%</t>
  </si>
  <si>
    <t>Indikator output sub kegiatan adalah Jumlah dokumen laporan keuangan bulanan/triwulanan/semesteran SKPD yang disusun Tepat Waktu. Target s.d triwulan II sebanyak 10 dokumen dan realisasi 10 dokumen yaitu   Laporan Keuangan Tahun 2022 sebanyak 1 dok, Laporan Triwulanan 2 dok, Laporan Bulanan Bendahara 6 dok dan Laporan semester 1 dokumen dengan capaian kinerja 100%</t>
  </si>
  <si>
    <t>Indikator output sub kegiatan adalah Jumlah dokumen laporan penatausahaan barang milik daerah pada SKPD yang disusun dan target s.d triwulan II sebanyak 2 dokumen dan realisasi 2 dokumen dengan capaian kinerja 100%</t>
  </si>
  <si>
    <t>Indikator output sub kegiatan adalah Jumlah ASN yang mengikuti bimbingan teknis implementasi peraturan perundang - undangan, target pada triwulan II sebanyak 6 orang dan terealisasi 9 org (Workshop Aplikasi SIRUP 1 org, Aplikasi Gaji 2 org, Pelatihan Water Rescue 1 orang, Bimtek PRB 2 orang, Pelatihan Pusdalops 3 org) dengan capaian kinerja 150%. Capaian kinerja melebihi target karena pelaksanaan sub kegiatan berdasarkan undangan ataupun pemanggilan peserta.</t>
  </si>
  <si>
    <t>Indikator output sub kegiatan adalah Jumlah bahan logistik kantor yang disediakan  dengan target sebanyak 20 jenis setiap triwulan, dan terealisasi 18 jenis yaitu BBM operasional  1 jenis dan 17 jenis alat dan bahan kebersihan dengan persentase capaian kinerja 90%. Penggunaan anggaran disesuaikan dengan kebutuhan kantor</t>
  </si>
  <si>
    <t>Indikator output sub kegiatan  adalah Jumlah Penyediaan bahan bacaan dan peraturan perundang- undangan, dan target s.d triwulan II sebanyak 30 expl dan realisasi 30 expl yaitu  koran lokal 6 expl, koran nasional 6 expl, koran regional 18 expl dengan capaian kinerja 100%</t>
  </si>
  <si>
    <t>Indikator output sub kegiatan adalah Jumlah tamu yang difasilitasi, dan target s.d triwulan II sebanyak 136 org dan terealisasi 135 org dengan capaian kinerja 99,26%</t>
  </si>
  <si>
    <t>Indikator output sub kegiatan adalah Jumlah rapat koordinasi dan konsultasi SKPD yang diikuti, target s.d triwulan II sebanyak 20 kali dan realisasi 28 kali, capaian kinerja 140%.</t>
  </si>
  <si>
    <t>Indikator sub kegiatan adalah Jumlah mebel yang diadakan sebanyak 5 unit. Berdasarkan anggaran kas, pengadaan mebel direncanakan pada triwulan II TA. 2023, namun yang terealisasi baru 4 unit dengan capaian kinerja 80%</t>
  </si>
  <si>
    <t>Indikator sub kegiatan adalah Jumlah Peralatan/Mesin Lainnya yang diadakan sebanyak 6 unit. Berdasarkan anggaran kas maka Pengadaan BM. Pengadan Peralatan dan mesin direncanakan pada Triwulan II TA. 2023, namun saat ini tidak dapat direalisasikan karena harga di e-catalog lebih tinggi dari standar biaya masukan sehingga menunggu perubahan anggaran</t>
  </si>
  <si>
    <t>Indikator out put sub kegiatan adalah Jumlah surat masuk dan keluar yang diadministrasikan, dan target s.d triwulan II sebanyak 200 surat dan realisasi 140 surat dengan persentase capaian kinerja 70%. Capaian kinerja disesuaikan dengan jumlah surat yang dikeluarkan maupun yang diterima.</t>
  </si>
  <si>
    <t>Indikator output sub kegiatan adalah Jumlah rekening telepon, listrik dan air yang terbayarkan, dan target s.d triwulan II sebanyak 18 rekening dan realisasi 19 rekening yaitu Listrik BPBD 6 rek, Token Listrik 2 rek, Air kantor 6 rek, kartu halo 5 rek. Capaian kinerja sebesar 105,5%</t>
  </si>
  <si>
    <t>Indikator out put sub kegiatan adalah Jumlah jasa tenaga pelayanan umum kantor yang dibayarkan sebanyak 2 orang setiap triwulan. Sedangkan realisasi pada triwulan II sebanyak 2 org dengan capaian kinerja 100%.</t>
  </si>
  <si>
    <t>Indikator out put sub kegiatan Jumlah kendaraan dinas operasional atau lapangan yang dipelihara dengan target 13 unit setiap triwulan dan realisasi pada triwulan II sebanyak 10 unit yaituRescue 1 unit, Hilux 1 unit, Truk Serbaguna 1 unit, Mobil Operasional TRC 1 unit dan motor 6 unit, dengan capaian kinerja 76,92%. Capaian kurang dari target disebabkan karena pemeliharaan kendaraan ini hanya dilakukan untuk kendaraan dinas yang memerlukan perbaikan.</t>
  </si>
  <si>
    <t>Indikator out put sub kegiatan adalah Jumlah peralatan dan mesin lainnya yang dipelihara dengan target s.d  triwulan II sebanyak 12 unit dan terealisasi 13 unit yaitu AC 1 unit, printer 3 unit, Laptop 2 unit, chainsaw 4 unit, Mesin Babat 1 unit, genset 2 unit, dengan persentase capaian kinerja 108,3%. Pemeliharaan peralatan disesuaikan dengan kondisi peralatan.</t>
  </si>
  <si>
    <t>Indikator out put sub kegiatan adalah Jumlah gedung kantor dan/atau bangunan lainnya yang dipelihara/direhabilitasi setiap triwulan sebanyak 1 unit dan realisasi kinerja masih 100%. Pemeliharaan gedung kantor disesuaikan kondisi gedung kantor yang memerlukan perbaikan/pemeliharaan.</t>
  </si>
  <si>
    <t>Indikator Sub Kegiatan adalah Jumlah Forum PRB yang dibentuk dan difasilitasi sebanyak 1 Forum.  Berdasarkan anggaran kas, sub kegiatan direncanakan pada Triwulan I TA. 2023, dan saat ini dan saat ini masih dalam tahap identifikasi stakeholder/Akademisi/Tokoh Masyarakat/Relawan yang akan dilibatkan dalam pembentukan Forum PRB ditingkat kabupaten</t>
  </si>
  <si>
    <t>01/SP/V/BPBD</t>
  </si>
  <si>
    <t>Toko Cahaya Agus</t>
  </si>
  <si>
    <t>31 Mei 2023</t>
  </si>
  <si>
    <t>14 Juni 2023</t>
  </si>
  <si>
    <t>02/SP/V/BPBD</t>
  </si>
  <si>
    <t>Direncanakan Penyusunan dokumen Renja Tahun 2024 pada Bulan Juni 2023, dan saat ini telah dilakukan penginputan Renja Tahun 2024 melalui Aplikasi SIPD</t>
  </si>
  <si>
    <t>Telah dilakukan Penyusunan Dokumen LPPD, LKPJ, Lapkin Tahun 2022, Dokumen Evaluasi Kinerja TW IV TA. 2022, Laporan Evaluasi RKPD Triwulan I TA. 2023 dan Laporan Kinerja TW I TA. 2023</t>
  </si>
  <si>
    <t>Penyusunan Laporan Keuangan Tahun 2022 sebanyak 1 dok, Laporan Bulanan Bendahara 6 dokumen dan laporan LRA TW I TA. 2023 sebanyak 1 dokumen, Laporan semester 1 dan LRA TW II TA. 2023</t>
  </si>
  <si>
    <t>Penyediaan logistik kantor sebanyak 18 jenis yaitu bahan pembersih 17 jenis (sendok sampah, stella matic, sabun cair, Tissu refil, Harpic, Pembersih lantai, keranjang sampah, alat pel, sapu, stella refil) dan BBM Operasional</t>
  </si>
  <si>
    <t>Tamu dari Tim Verifikasi RR BNPB, BPBD Prov dan Tim dari OPD terkait 25 org, Tim Logistik dari BPBD Prov 10 org, Tim dari BMKG 5 org, Tamu dari OPD terkait</t>
  </si>
  <si>
    <t>Tealh dilakukan pembayaran honor tenaga upah jasa sopir 1 org dan perjadin luar daerah dalam propinsi 25 surat tugas. Luar daerah luar propinsi 3 surat tugas</t>
  </si>
  <si>
    <t>Berdasarkan anggaran kas, sub kegiatan ini direncanakan pada Triwulan II TA. 2023. Dan terealisasi 100% yaitu pengadaan AC 2 unit dan TV Monitor 1 unit</t>
  </si>
  <si>
    <t>Berdasarkan anggaran kas, sub kegiatan ini direncanakan pada Triwulan II TA. 2023. Dan terealisasi 4 unit yaitu kursi staf 2 unit, kursi eselon IV 1 unit dan kursi eselon III 1 unit</t>
  </si>
  <si>
    <t>Berdasarkan anggaran kas, sub kegiatan ini direncanakan pada Triwulan II TA. 2023. Tidak dapat direalisasikan pada TW II terkendala harga di e-catalog lebih tinggi dari standar biaya masukan sehingga menunggu perubahan anggaran</t>
  </si>
  <si>
    <t>Berdasarkan anggaran kas, sub kegiatan ini direncanakan pada Triwulan II (design) &amp; III (Fisik) TA. 2023. Dan saat ini dalam proses penyusunan desig/Perencanaan telah selesai</t>
  </si>
  <si>
    <t>Pengadministrasian Surat keluar 49 dan surat masuk 91 surat</t>
  </si>
  <si>
    <t>Telah dilakukan Pembayaran Rekening Listrik BPBD 19 rekening yaitu Listrik BPBD 6 rek, Token Listrik 2 rek, Air kantor 6 rek, kartu halo 5 rek</t>
  </si>
  <si>
    <t>Terbayarnya honor upah jasa cleaning service sebanyak 1 org untuk bulan Januari dan Mei 2023 sedangkan Pejabat terbayarkan honor bulan Februari s.d Mei 2023</t>
  </si>
  <si>
    <t xml:space="preserve">Dilakukan Perbaikan kendaraan dinas sebanyak 9 unit yaitu Rescue 1 unit, Hilux 1 unit, Truk Serbaguna 1 unit, Mobil Operasional TRC 1 unit dan motor 6 unit </t>
  </si>
  <si>
    <t>Penyusunan Laporan penatausahaan BMD TW I &amp; II TA. 2023</t>
  </si>
  <si>
    <t>Adapun bimtek/diklat yang diikuti yaitu Workshop Aplikasi SIRUP 1 org, Aplikasi Gaji 2 org, Pelatihan Water Rescue 1 orang, Bimtek PRB 2 orang dan Pelatihan Pusdalops 3 org</t>
  </si>
  <si>
    <t>Berdasarkan anggaran kas, Output Sub kegiatan ini direncanakan selesai pada Triwulan II TA. 2023 namun administrasi dimulai pada TW I TA. 2023. Dan saat ini masih dalam proses verifikasi draf SK Tim Teknis dan Tim Penyusun Dokumen di Bagian Hukum Sekretariat Daerah Kab. Luwu Timur</t>
  </si>
  <si>
    <t>Berdasarkan anggaran kas, Sub kegiatan ini direncanakan pada Triwulan II TA. 2023, dan namun belum terealisasi karena penyesuaian kesediaan waktu narasumber. Dan direncanakan pelaksanaannya pada Minggu II Bulan Juli 2023</t>
  </si>
  <si>
    <t>Berdasarkan anggaran kas, Sub kegiatan ini direncanakan pada Triwulan II TA. 2023, namun belum terealisasi, karena belum tersedia dalam e-catalog dan saat ini masih dikoordinasikan dengan pejabat pengadaan(UKPBJ)</t>
  </si>
  <si>
    <t>Terdapat sub kegiatan terkait pengadaan barang (BM) tidak dapat direalisasikan sebab harga e-catalog lebih tinggi dibanding harga di DPA, beberapa sub kegiatan sifatnya riil cost, disesuaikan dengan kebutuhan dan kondisi</t>
  </si>
  <si>
    <t>Target program setiap triwulan 100%, namun terealisasi hanya 58,7%, hal ini disebabkan karena beberapa sub kegiatan realisasinya tidak maksimal seperti sub kegiatan penyediaan gaji &amp; tunjangan, karena terdapat beberapa jabatan yang masih kosong, sub kegiatan pengadaan peralatan &amp; mesin, tidak terealisasi karena harga e-catalog lebih tinggi dari DPA, beberapa sub kegiatan sifatnya disediakan seperti penyediaan jasa SDA &amp; listrik, pemeliharaan kendaraan dinas, pemeliharaan peralatan &amp; mesin dsb, penggunaan anggarannya disesuaikan dengan kebutuhan dan kondisi peralatan ataupun kendaraan dinas yang akan dipelihara</t>
  </si>
  <si>
    <t>Melakukan konsultasi dengan pejabat pengadaan terkait pengadaan tersebut, untuk selanjutnya dilakukan  penyesuaian harga sesuai e-catalog pada perubahan anggaran, dan untuk mencermati target anggaran kas yang telah direncanakan</t>
  </si>
  <si>
    <t>Target indikator kinerja sub kegiatan adalah ketersediaan komponen instalasi listrik/penerangan bangunan kantor sebanyak 8 jenis setiap triwulan, namun sampai dengan triwulan II belum terealisasi karena disesuaikan dengan kondisi atau kebutuhan komponen listrik kantor</t>
  </si>
  <si>
    <t>Berdasarkan anggaran kas, sub kegiatan ini direncanakan pada Triwulan II TA. 2023, dan saat ini masih dalam proses  pencarian penyedia dan jenis barang sesuai TKDN dalam e-catalog Nasional dan belum dapat direalisasikan karena harga di e-catalog lebih tinggi dari standar biaya masukan sehingga untuk diusulkan pada perubahan anggaran</t>
  </si>
  <si>
    <t xml:space="preserve">Berdasarkan anggaran kas, sub kegiatan ini direncanakan pada TW II TA. 2023, dan saat ini masih dalam proses pencarian harga perahu karet sesuai dengan spek yang direncanakan, namun terkendala tidak terdapat di e-catalog, untuk diselanjutkan dikonsultasikan dengan pejabat pengadaan untuk pengadaan melalui Mbizmarket atau metode pengadaan lain </t>
  </si>
  <si>
    <t>Disediakan anggaran kas s.d triwulan IV sebesar Rp 46.199.300 dan realisasi 81,40%. Terdapat spj yang belum dipertanggungjawabkan</t>
  </si>
  <si>
    <t>Agar PPTK segera merampungkan SPJ pertanggungjawaban keuangan sesuai anggaran kas yang telah direncanakan.</t>
  </si>
  <si>
    <t>Disediakan anggaran kas s.d triwulan IV sebesar Rp 4.925.200 dan trealisasi 94,72%</t>
  </si>
  <si>
    <t xml:space="preserve">Agar PPTK mencermati anggaran kas yang telah direncanakan </t>
  </si>
  <si>
    <t xml:space="preserve">Disediakan anggaran kas s.d triwulan IV sebesar Rp 4.354.340, Realisasi keuangan (75,26%). </t>
  </si>
  <si>
    <t>Disediakan anggaran kas s.d triwulan IV sebesar Rp 49.972.580, dan realisasi 77,92%. Terdapat SPJ yang belum dipertanggungjawabkan</t>
  </si>
  <si>
    <t xml:space="preserve">Disediakan anggaran kas pada s.d triwulan IV sebesar Rp 1.578.340.173 dan realisasi 89,18%. Realisasi keuangan yang masih rendah karena masih terdapat jabatan fungsional dan staf yang masih kosong. </t>
  </si>
  <si>
    <t> Melakukan perhitungan anggaran pada saat perubahan</t>
  </si>
  <si>
    <t>Disediakan anggaran kas s.d triwulan IV sebesar Rp 48.438.200 dan realisasi 93,96%.</t>
  </si>
  <si>
    <t>Disediakan anggaran kas pada triwulan IV sebesar Rp 20.559.800 dan realisasi 90.78%. Disediakan anggaran untuk perjalanan dinas namun belum realisasi karena  penyusunan laporan asset dilaksanakan di wilayah kabupaten luwu timur.</t>
  </si>
  <si>
    <t xml:space="preserve">Disediakan anggaran kas s.d triwulan IV sebesar Rp 73.160.000,  Dan realisasi keuangan 84,06%. Pada dasarnya penggunaan anggaran pada sub kegiatan ini disesuaikan dengan undangan pemanggilan peserta. </t>
  </si>
  <si>
    <t>Dan disediakan anggaran s.d triwulan IV  sebesar Rp 12.625.000- dengan realisasi keuangan sebesar (99,05%). Dan pada dasarnya penggunaan anggaran disesuaikan dengan kebutuhan kantor</t>
  </si>
  <si>
    <t>Disediakan anggaran kas s.d triwulan IV sebesar Rp 26.000.000, dan realisasi keuangan 99,17% penggunaan alat dan bahan kebersihan disesuaikan dengan kebutuhan kantor.</t>
  </si>
  <si>
    <t>Disediakan anggaran kas s.d triwulan IV sebesar Rp 25.840.000, dan realisasi keuangan (69,24%), Penggunaan anggaran juga didasarkan pada kebutuhan kantor.</t>
  </si>
  <si>
    <t xml:space="preserve">Disediakan anggaran kas s.d triwulan IV sebesar Rp 6.720.000, dan realisasi keuangan sebesar (100%), </t>
  </si>
  <si>
    <t xml:space="preserve">Disediakan anggaran kas s.d triwulan IV sebesar Rp 24.750.000 dan realisasi keuangan (99,78%), </t>
  </si>
  <si>
    <t xml:space="preserve">Disediakan anggaran kas s.d triwulan IV sebesar Rp 480.974.800, dengan realisasi keuangan (99,98%) </t>
  </si>
  <si>
    <t xml:space="preserve">Disediakan anggaran kas s.d triwulan IV sebesar Rp 20.500.000, Dan terealisasi (98,78%). </t>
  </si>
  <si>
    <t>Agar PPTK PPK  melakukan konsultasi dengan Pejabat pengadaan terkait pelaksanaan pengadaan</t>
  </si>
  <si>
    <t>Disediakan anggaran kas s.d triwulan IV sebesar Rp 62.640.000 Dan terealisasi (50,69%). Terdapat harga PC yang ,melebihi harga di DPA-SKPD dan pengadaan peralatan lainnya masih dalam proses pencarian barang sesuai spek dan harga</t>
  </si>
  <si>
    <t>Indikator sub kegiatan adalah Jumlah sarana dan prasarana gedung kantor atau bangunan lainnya yang diadakan sebanyak 1 unit. Target s.d Triwulan III belum realiasi karena akan dilakukan perubahan dari belanja langsung menjadi swakelola dan menunggu perubahan anggaran</t>
  </si>
  <si>
    <t>Disediakan anggaran s.d triwulan IV sebesar Rp 85.000.000,- dan realisasi  99,77%.</t>
  </si>
  <si>
    <t>Untuk dilakukan perubahan anggaran</t>
  </si>
  <si>
    <t>Indikator output yaitu Jumlah sarana dan prasarana pendukung gedung kantor atau bangunan lainnya yang diadakan sebanyak 3 unit dan realisasi 3 unit (100%) yaitu pengadaan AC 2 unit dan TV monitor 1 Unit</t>
  </si>
  <si>
    <t>Disediakan anggaran s.d triwulan IV  sebesar Rp 33.100.000,- dan realisasi  100%.</t>
  </si>
  <si>
    <t>Disediakan anggaran s.d triwulan IV sebesar Rp 8.807.475,- dan realisasi  (90,62%). Terdapat SPJ yang belum diGU-kan sebesar Rp sedangkan untuk belanja paket pengiriman disesuaikan dengan kebutuhan kantor.</t>
  </si>
  <si>
    <t xml:space="preserve">Disediakan anggaran s.d triwulan IV  sebesar Rp 51.252.240,- dan Realisasi keuangan 90,60%. </t>
  </si>
  <si>
    <t>Agar PPTK menyesuaikan realisasi keuangan pada saat perubahan anggaran</t>
  </si>
  <si>
    <t>Disediakan anggaran s.d triwulan IV  sebesar Rp 19.400.000,-. Dan realisasi (100%). Hal ini disebabkan karena belum terbayarnya honor pejabat pengadaan, dimana SK pejabat pengadaan berlaku Februari 2023.</t>
  </si>
  <si>
    <t>Disediakan anggaran pada triwulan IV sebesar Rp 113.300.000,- Dan terealisasi (99,82%). Pada dasarnya penggunaan anggaran disesuaikan dengan kondisi kendaraan dinas yang memerlukan pemeliharaan.</t>
  </si>
  <si>
    <t>Disediakan anggaran s.d triwulan IV  sebesar Rp 25.410.000,- dan realisasi (74,20%). Terdapat SPJ yang belum di-Gukan.Penggunaan anggaran disesuaikan dengan kondisi peralatan kantor.</t>
  </si>
  <si>
    <t>Disediakan anggaran s.d triwulan IV sebesar Rp 25.650.000,- dan realisasi (97,07%) Penggunaan anggaran pada sub kegiatan ini disesuaikan dengan kondisi</t>
  </si>
  <si>
    <t> Percepatan pelaksanaan sub kegiatan</t>
  </si>
  <si>
    <t> Menyesuaikan realisasi keuangan pada saat perubahan anggaran</t>
  </si>
  <si>
    <t> Untuk melakukan koordinasi dengan pejabat pengadaan terkait pencarian jenis barang yang akan diadakan</t>
  </si>
  <si>
    <t>Untuk dilakukan perubahan anggaran dan target sesuai Renstra</t>
  </si>
  <si>
    <t>Untuk menyesuaikan realisasi anggaran pada saat perubahan</t>
  </si>
  <si>
    <t xml:space="preserve">Segera melakukan Percepatan realisasi anggaran </t>
  </si>
  <si>
    <t>Untuk segera melakukan pembentukan Forum PRB dan pelaksanaan Penilaian IKD Tahun 2023</t>
  </si>
  <si>
    <t>Disediakan anggaran kas triwulan IV sebesar Rp 7.000 dan realisasi keuangan sebesar Rp 7.293.300, terdapat SPJ pertanggungjawaban yang belum di-GUkan</t>
  </si>
  <si>
    <t>Disediakan anggaran kas triwulan IV 10.315.300,- dengan realisasi keuangan sebesar Rp 38.660.800 terdapat SPJ pertanggungjawaban yang belum di-GUkan</t>
  </si>
  <si>
    <t>Indikator output sub kegiatan adalah Jumlah dokumen KRB yang disusun sampai dinyatakan sah/legal, target penyelesaian dokumen KRB pada Triwulan II, namun proses pelaksanaan  kegiatan dimulai di triwulan III.</t>
  </si>
  <si>
    <t xml:space="preserve">Disediakan anggaran kas sebesar Rp. 174.995.642,- dan realisasi keuangan Rp. 117.243.800,- atau sebesar 66,99% </t>
  </si>
  <si>
    <t>Indikator output sub kegiatan adalah Jumlah peserta sosialisasi kebencanaan dengan target 250 orang. Berdasarkan anggaran kas maka sub kegiatan ini telah dilaksanakan pada Triwulan II TA. 2022</t>
  </si>
  <si>
    <t>Disediakan Anggaran Kas  pada Triwulan II  sebesar Rp. 19.645.000,- dan realisasi keuangan Rp. 19.645.000,- atau sebesar 100%, dengan jumlah peserta yang mengikuti sosialisasi sebanyak 250 Orang.</t>
  </si>
  <si>
    <t xml:space="preserve">Disediakan Anggaran Kas  pada Triwulan IV  sebesar Rp. 175.270.300,- dan realisasi keuangan Rp. 114.890.100,- atau sebesar 65,55%. </t>
  </si>
  <si>
    <t>Disediakan Anggaran Kas  pada Triwulan III  sebesar Rp. 31.425.900,- dan realisasi keuangan Rp. 24.428.900,- atau sebesar 77,73%, dengan jumlah peserta yang mengikuti pelatihan sebanyak 50 Orang.</t>
  </si>
  <si>
    <t>Indikator output sub kegiatan adalah Jumlah sarana prasarana penanggulangan bencana yang diadakan dengan target 21 unit Berdasarkan anggaran kas maka sub kegiatan ini akan dilaksanakan pada Triwulan II TA. 2023 dan proses pengadaan sarpras dilaksanakan pada Triwulan IV</t>
  </si>
  <si>
    <t xml:space="preserve">Disediakan Anggaran Kas  sebesar Rp. 73.000.000,- dan realisasi keuangan Rp. 72.482.000,- atau sebesar 99,29%. </t>
  </si>
  <si>
    <t>Indikator output sub kegiatan adalah Jumlah desa tangguh bencana yang dibentuk, dengan target sebanyak 2 desa, berdasarkan rencana aksi, output sub kegiatan berada pada Triwulan III TA. 2023, namum kegiatan tersebut dimasukkan pada anggaran perubahan untuk menambahkan target menjadi 4 Desa di laksanakan pada Triwulan IV TA. 2023.</t>
  </si>
  <si>
    <t xml:space="preserve">Disediakan Anggaran Kas  sebesar Rp. 53.054.800,- dan realisasi keuangan Rp. 45.966.200,- atau sebesar 86,63%. </t>
  </si>
  <si>
    <t>Indikator output sub kegiatan adalah Jumlah Tim Reaksi Cepat yang di diklat, dengan target sebanyak 50 orang. Berdasarkan anggaran kas maka sub kegiatan ini akan direncanakan pada Triwulan II namun proses pelaksanaan dilaksanakan pada Triwulan III TA. 2023</t>
  </si>
  <si>
    <t>Disediakan Anggaran Kas  sebesar Rp. 29.890.000,- dan realisasi keuangan Rp. 25.161.500,- atau sebesar 84,18%, dengan jumlah peserta yang mengikuti diklat TRC sebanyak 43 Orang.</t>
  </si>
  <si>
    <t>Disediakan Anggaran Kas  sebesar Rp. 98.890.000,- dan realisasi keuangan Rp. 6.230.000,- atau sebesar 6,30%</t>
  </si>
  <si>
    <t>Disediakan Anggaran Kas  sebesar Rp. 19.136.500,- dan realisasi keuangan Rp. 11.298.000,- atau sebesar 59.04%, dengan jumlah peserta yang mengikuti gladi sebanyak 250 Orang.</t>
  </si>
  <si>
    <t>Terget output sub kegiatan pada TW IV yaitu tersusunnya dokumen Rehabilitasi dan Rekonstruksi Pasca Bencana sebanyak 4 dokumen dan terealisasi 100%</t>
  </si>
  <si>
    <t>Disediakan anggaran sampai dengan triwulan IV  sebesar Rp. 304.895.000,- yang terdiri dari Belanja Alat/Bahan untuk Kegiatan Kantor-Alat Tulis Kantor Rp 660.000, Belanja Alat/Bahan untuk Kegiatan Kantor- Kertas dan Cover Rp. 1.000.000,-, Belanja Alat/Bahan untuk Kegiatan Kantor- Bahan Cetak Rp. 300.000,-, Belanja Alat/Bahan untuk Kegiatan Kantor-Bahan Komputer Rp. 375.000, Belanja Makanan dan Minuman Rapat Rp. 5.250.000,-, Belanja Jasa Konsultansi Perencanaan Arsitektur-Jasa Nasihat Pra DEsain Arsitektural 13.500.000,-, Belanja Jasa Konsultansi Berorientasi Layanan-Jasa Survey Rp. 10.000.000,-, Belanja Perjalanan Dinas Biasa Rp 31.4100.000,-, Belanja Modal Jembatan pada Jalan Desa Rp. 78.400.000,-, Belanja Modal Bangunan Pengaman Sungai/Pantai dan Penanggulangan Bencana Rp. 164.000.000,-, Realisasi sampai dengan Desember 2023 sebesar 81,90%, dengan rincian Belanja Alat/Bahan untuk Kegiatan Kantor-Alat Tulis Kantor Rp. 610.955,-; Belanja Alat/Bahan untuk Kegiatan Kantor- Kertas dan Cover Rp. 941.510,-; Belanja Alat/Bahan untuk Kegiatan Kantor- Bahan Cetak Rp. 294.000,-; Belanja Alat/Bahan untuk Kegiatan Kantor-Bahan Komputer Rp. 333.000,-; elanja Makanan dan Minuman Rapat Rp. 5.250.000,-; Belanja Jasa Konsultansi Perencanaan Arsitektur-Jasa Nasihat Pra DEsain Arsitektural 13.500.000,-; Belanja Jasa Konsultansi Berorientasi Layanan-Jasa Survey Rp. 7,780.000,-; Belanja Perjalanan Dinas Biasa Rp. 30.189.090,-; Belanja Modal Jembatan pada Jalan Desa Rp. 59.125.420,-; Belanja Modal Bangunan Pengaman Sungai/Pantai dan Penanggulangan Bencana Rp. 131.681.679,-</t>
  </si>
  <si>
    <t>Indikator output adalah Persentase kecepatan respon kurang dari 24 jam untuk setiap status darurat bencana dengan target 100% setiap triwulan dan terealisasi 100%. Dengan perhitungan bahwa semua kejadian bencana yang terjadi pada bulan januari s.d Desember 2023  (341 kejadian), semuanya direspon kurang dari 24 jam ketika laporan diterima dan dilakukan kaji cepat.</t>
  </si>
  <si>
    <t>Disediakan anggaran pada triwulan IV sebesar Rp 637.570.000,- Terealisasi sebesar Rp.623.552.750,- atau sebesar 97.80% dari Anggaran tidak tereleasasi 100%  di sebabkan karena jumlah personil TRC hingga saat ini  21 orang dari estimasi anggaran yang di sediakan 22 orang setelah perubahan anggaran.  hal ini mempengaruhi realisasi anggaran khususnya belanja makanan dan minuman aktivitas lapangan. Belanja bahan bahan bakar dan pelumas sebesar Rp. 3.545.000,- di karenakan kurangnya aktivitas lapangan yang membutuhkan bahan bakar dan pelumas.</t>
  </si>
  <si>
    <t xml:space="preserve">PPTK segera memreriksa, merampungkan dan mengevaluasi SPJ administrasi keuangan dan laporan pelaksanaan kegiatan, agar laporan pertanggungjawaban tahun 2023 segera selesai dan lengkap.  </t>
  </si>
  <si>
    <t>Indikator output adalah Persentase jumlah korban laki-laki dan perempuan berhasil dicari, ditolong dan dievakuasi terhadap kejadian bencana dengan target 100% setiap triwulan dan terealisasi 100%. Dengan perhitungan bahwa jumlah korban bencana bulan januari s.d Desember 2023 sebanyak 1.266 jiwa (625 Laki-laki dan 641 Perempuan) dan semuanya diberikan layanan penyelamatan dan evakuasi</t>
  </si>
  <si>
    <t>Disediakan anggaran pada triwulan IV sebesar Rp 52.370.000,- dengan realisasi sebesar Rp.25.993.650,- , atau sebesar 49.63 % tidak tereliasasi 100% dari target anggaran karena sifatnya disediakan. terdapat sisa anggaran paling banyak pada belanja  perjalanan Dinas Dalam Daerah sebanyak Rp. 5.826.350,-dan Belanja Bahan Bakar Minyak/pelumas sebesar Rp. .10.825.000,- .dan belanja makanan dan minuman aktivitas lapangan sebesar Rp. 6.825.000,-.</t>
  </si>
  <si>
    <t xml:space="preserve">PPTK segera memreriksa, merampungkan dan mengevaluasi SPJ administrasi keuangan dan laporan pelaksanaan kegiatan, agar laporan pertanggungjawaban tahun 2023 segera selesai dan lengkap. </t>
  </si>
  <si>
    <t>Indikator output adalah Persentase jumlah korban bencana laki-laki dan perempuan yang terfasilitasi kebutuhan dasarnya yang responsif gender dengan target 100% setiap triwulan dan terealisasi 100%. Dengan perhitungan bahwa jumlah korban bencana pada bulan Januari s.d Desember 2023 sebanyak  1.266 jiwa (625 Laki-laki dan 641 Perempuan) dan semuanya diberikan bantuan logistik baik itu berupa sandang pangan dan hunian sementara (tenda).</t>
  </si>
  <si>
    <t xml:space="preserve">Disediakan anggaran pada triwulan IV sebesar Rp . 74.678.000- dengan realisasi sebesar Rp. 63.666.400,- atau  85.25% tidak terealisasi 100% karena anggaran pada sub. kegiatan ini sifatnya di siapkan. selain hal tersebut karena adanya juga bantuan logistik dari BPBD Provinsi Sulawesi Selatan yang diantar langsung oleh BPBD Prov beserta timnya dari sisa anggaran belanja bahan pangan sebesar 1.000.000,- dan belanja sewa alat angkutan darat bermotor lainnya sebesar Rp. 4.500.000,- tidak di gunakan. </t>
  </si>
  <si>
    <t>Indikator Output adalah Persentase jumlah petugas yang aktif dalam penanganan darurat bencana dengan target 100% setiap triwulan dan terealisasi 100%. Dengan perhitungan bahwa  kooridnasi sistem komando oleh pusdalops penanggulangan bencana dalam penyiapan petugas penanganan darurat bencana pada bulan januari s.d Desember 2023 sebanyak 37 personil dan semuanya aktif dalam penanggulangan bencana</t>
  </si>
  <si>
    <t>Disediakan anggaran pada triwulan IV  sebesar Rp  20.000.000,-  Namun realisasi keuangan sampai pada triwulan IV masih 0%, hal ini disebabkan karena anggaran sifatnya disediakan dan tidak terdapat kejadian bencana yang membutuhkan aktivasi sistem komando penanganan darurat.</t>
  </si>
  <si>
    <t xml:space="preserve">PPTK melaksanakan sub kegiatan sesuai ketentuan yang berlaku. </t>
  </si>
  <si>
    <t>Indikator output adalah Persentase kecepatan respon kurang dari 24 jam untuk setiap status kejadian luar biasa wabah penyakit dengan target 100% setiap triwulan dan terealisasi 100%. Dengan perhitungan bahwa bencana non alam (covid-19)  yang ditangani oleh BPBD terkait giat pemulasaran jenazah covid-19, semuanya direspon kurang dari 24 jam. pada periode Triwulan IV tidak ada Masyarakat yang terkonfirmasi covid-19 (meninggal)  yang diterima oleh TRC BPBD.</t>
  </si>
  <si>
    <t>Dan disediakan anggaran pada triwulan IV  sebesar Rp 13.310.000,- dengan realisasi keuangan sebesar Rp 0,-  hal ini disebabkan karena pada triwulan IV tahun 2023 tidak ada kejadian akibat Covid 19 dan bencana wabah penyakit lainnya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</si>
</sst>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_);_(* \(#,##0\);_(* &quot;-&quot;?_);_(@_)"/>
    <numFmt numFmtId="166" formatCode="_(* #,##0.00_);_(* \(#,##0.00\);_(* &quot;-&quot;_);_(@_)"/>
    <numFmt numFmtId="167" formatCode="_(* #,##0_);_(* \(#,##0\);_(* &quot;-&quot;??_);_(@_)"/>
    <numFmt numFmtId="168" formatCode="_-* #,##0.00_-;\-* #,##0.00_-;_-* &quot;-&quot;_-;_-@_-"/>
    <numFmt numFmtId="169" formatCode="0.0%"/>
  </numFmts>
  <fonts count="119">
    <font>
      <sz val="11"/>
      <color theme="1"/>
      <name val="Calibri"/>
      <family val="2"/>
      <scheme val="minor"/>
    </font>
    <font>
      <sz val="11"/>
      <color theme="1"/>
      <name val="Calibri"/>
      <family val="2"/>
      <scheme val="minor"/>
    </font>
    <font>
      <b/>
      <sz val="8"/>
      <color rgb="FF000000"/>
      <name val="Arial Narrow"/>
      <family val="2"/>
    </font>
    <font>
      <sz val="8"/>
      <color rgb="FF000000"/>
      <name val="Arial Narrow"/>
      <family val="2"/>
    </font>
    <font>
      <b/>
      <i/>
      <sz val="8"/>
      <color rgb="FF000000"/>
      <name val="Arial Narrow"/>
      <family val="2"/>
    </font>
    <font>
      <sz val="10"/>
      <name val="Arial"/>
      <family val="2"/>
    </font>
    <font>
      <sz val="11"/>
      <color theme="1"/>
      <name val="Calibri"/>
      <family val="2"/>
      <charset val="1"/>
      <scheme val="minor"/>
    </font>
    <font>
      <sz val="15"/>
      <color rgb="FF000000"/>
      <name val="Franklin Gothic Book"/>
      <family val="2"/>
    </font>
    <font>
      <sz val="15"/>
      <color theme="1"/>
      <name val="Franklin Gothic Book"/>
      <family val="2"/>
    </font>
    <font>
      <b/>
      <sz val="15"/>
      <color theme="1"/>
      <name val="Franklin Gothic Book"/>
      <family val="2"/>
    </font>
    <font>
      <b/>
      <i/>
      <sz val="11"/>
      <color rgb="FF000000"/>
      <name val="Franklin Gothic Book"/>
      <family val="2"/>
    </font>
    <font>
      <b/>
      <sz val="11"/>
      <color theme="1"/>
      <name val="Calibri"/>
      <family val="2"/>
      <scheme val="minor"/>
    </font>
    <font>
      <sz val="9"/>
      <color theme="1"/>
      <name val="Calibri"/>
      <family val="2"/>
      <scheme val="minor"/>
    </font>
    <font>
      <sz val="9"/>
      <name val="Arial"/>
      <family val="2"/>
    </font>
    <font>
      <b/>
      <sz val="8"/>
      <color rgb="FF000000"/>
      <name val="Arial"/>
      <family val="2"/>
    </font>
    <font>
      <b/>
      <sz val="11"/>
      <color rgb="FF000000"/>
      <name val="Arial"/>
      <family val="2"/>
    </font>
    <font>
      <b/>
      <sz val="9"/>
      <color rgb="FF000000"/>
      <name val="Arial"/>
      <family val="2"/>
    </font>
    <font>
      <sz val="9"/>
      <color rgb="FF000000"/>
      <name val="Arial"/>
      <family val="2"/>
    </font>
    <font>
      <b/>
      <sz val="10"/>
      <color rgb="FF000000"/>
      <name val="Arial"/>
      <family val="2"/>
    </font>
    <font>
      <b/>
      <sz val="8"/>
      <color theme="1"/>
      <name val="Calibri"/>
      <family val="2"/>
      <scheme val="minor"/>
    </font>
    <font>
      <sz val="8"/>
      <color theme="1"/>
      <name val="Calibri"/>
      <family val="2"/>
      <scheme val="minor"/>
    </font>
    <font>
      <sz val="10"/>
      <color rgb="FF000000"/>
      <name val="Arial"/>
      <family val="2"/>
    </font>
    <font>
      <sz val="8"/>
      <color theme="1"/>
      <name val="Arial"/>
      <family val="2"/>
    </font>
    <font>
      <sz val="8"/>
      <color rgb="FF000000"/>
      <name val="Arial"/>
      <family val="2"/>
    </font>
    <font>
      <b/>
      <sz val="8"/>
      <color theme="1"/>
      <name val="Arial"/>
      <family val="2"/>
    </font>
    <font>
      <b/>
      <sz val="9"/>
      <color theme="1"/>
      <name val="Arial"/>
      <family val="2"/>
    </font>
    <font>
      <i/>
      <sz val="8"/>
      <color theme="1"/>
      <name val="Arial"/>
      <family val="2"/>
    </font>
    <font>
      <i/>
      <sz val="9"/>
      <color rgb="FF000000"/>
      <name val="Arial"/>
      <family val="2"/>
    </font>
    <font>
      <i/>
      <sz val="8"/>
      <color theme="1"/>
      <name val="Calibri"/>
      <family val="2"/>
      <scheme val="minor"/>
    </font>
    <font>
      <i/>
      <sz val="8"/>
      <color theme="1"/>
      <name val="Arial Narrow"/>
      <family val="2"/>
    </font>
    <font>
      <i/>
      <sz val="9"/>
      <color rgb="FF000000"/>
      <name val="Arial Narrow"/>
      <family val="2"/>
    </font>
    <font>
      <b/>
      <sz val="9"/>
      <color theme="1"/>
      <name val="Calibri"/>
      <family val="2"/>
      <scheme val="minor"/>
    </font>
    <font>
      <sz val="11"/>
      <name val="Calibri"/>
      <family val="2"/>
      <scheme val="minor"/>
    </font>
    <font>
      <b/>
      <sz val="12"/>
      <color theme="1"/>
      <name val="Arial Narrow"/>
      <family val="2"/>
    </font>
    <font>
      <sz val="12"/>
      <color theme="1"/>
      <name val="Arial Narrow"/>
      <family val="2"/>
    </font>
    <font>
      <b/>
      <i/>
      <sz val="12"/>
      <color theme="1"/>
      <name val="Arial Narrow"/>
      <family val="2"/>
    </font>
    <font>
      <sz val="12"/>
      <name val="Arial Narrow"/>
      <family val="2"/>
    </font>
    <font>
      <sz val="12"/>
      <color theme="0"/>
      <name val="Arial Narrow"/>
      <family val="2"/>
    </font>
    <font>
      <b/>
      <sz val="12"/>
      <color theme="0"/>
      <name val="Arial Narrow"/>
      <family val="2"/>
    </font>
    <font>
      <b/>
      <sz val="12"/>
      <name val="Arial Narrow"/>
      <family val="2"/>
    </font>
    <font>
      <b/>
      <sz val="9"/>
      <color indexed="81"/>
      <name val="Tahoma"/>
      <family val="2"/>
    </font>
    <font>
      <sz val="9"/>
      <color indexed="81"/>
      <name val="Tahoma"/>
      <family val="2"/>
    </font>
    <font>
      <b/>
      <sz val="11"/>
      <color theme="1"/>
      <name val="Arial Narrow"/>
      <family val="2"/>
    </font>
    <font>
      <b/>
      <sz val="10"/>
      <color theme="1"/>
      <name val="Arial Narrow"/>
      <family val="2"/>
    </font>
    <font>
      <sz val="10"/>
      <color theme="1"/>
      <name val="Arial Narrow"/>
      <family val="2"/>
    </font>
    <font>
      <sz val="12"/>
      <color theme="1"/>
      <name val="Calibri"/>
      <family val="2"/>
      <scheme val="minor"/>
    </font>
    <font>
      <sz val="11"/>
      <color rgb="FF000000"/>
      <name val="Calibri"/>
      <family val="2"/>
    </font>
    <font>
      <sz val="11"/>
      <name val="Calibri"/>
      <family val="2"/>
    </font>
    <font>
      <sz val="11"/>
      <color theme="1"/>
      <name val="Arial Narrow"/>
      <family val="2"/>
    </font>
    <font>
      <b/>
      <u/>
      <sz val="11"/>
      <color theme="1"/>
      <name val="Arial Narrow"/>
      <family val="2"/>
    </font>
    <font>
      <i/>
      <sz val="10"/>
      <color theme="1"/>
      <name val="Arial Narrow"/>
      <family val="2"/>
    </font>
    <font>
      <b/>
      <i/>
      <sz val="11"/>
      <color theme="1"/>
      <name val="Arial Narrow"/>
      <family val="2"/>
    </font>
    <font>
      <sz val="11"/>
      <color theme="0"/>
      <name val="Arial Narrow"/>
      <family val="2"/>
    </font>
    <font>
      <sz val="11"/>
      <name val="Arial Narrow"/>
      <family val="2"/>
    </font>
    <font>
      <b/>
      <sz val="11"/>
      <color theme="0"/>
      <name val="Arial Narrow"/>
      <family val="2"/>
    </font>
    <font>
      <b/>
      <sz val="11"/>
      <name val="Arial Narrow"/>
      <family val="2"/>
    </font>
    <font>
      <b/>
      <sz val="11"/>
      <color rgb="FF000000"/>
      <name val="Calibri"/>
      <family val="2"/>
    </font>
    <font>
      <sz val="13"/>
      <color rgb="FF000000"/>
      <name val="Franklin Gothic Book"/>
      <family val="2"/>
    </font>
    <font>
      <b/>
      <sz val="13"/>
      <color rgb="FF000000"/>
      <name val="Franklin Gothic Book"/>
      <family val="2"/>
    </font>
    <font>
      <sz val="13"/>
      <name val="Franklin Gothic Book"/>
      <family val="2"/>
    </font>
    <font>
      <b/>
      <sz val="13"/>
      <color theme="1"/>
      <name val="Franklin Gothic Book"/>
      <family val="2"/>
    </font>
    <font>
      <sz val="13"/>
      <color theme="1"/>
      <name val="Franklin Gothic Book"/>
      <family val="2"/>
    </font>
    <font>
      <b/>
      <u val="singleAccounting"/>
      <sz val="13"/>
      <color theme="1"/>
      <name val="Franklin Gothic Book"/>
      <family val="2"/>
    </font>
    <font>
      <b/>
      <i/>
      <sz val="13"/>
      <color rgb="FF000000"/>
      <name val="Franklin Gothic Book"/>
      <family val="2"/>
    </font>
    <font>
      <sz val="11"/>
      <color rgb="FFFF0000"/>
      <name val="Calibri"/>
      <family val="2"/>
      <scheme val="minor"/>
    </font>
    <font>
      <i/>
      <u/>
      <sz val="9"/>
      <color rgb="FF000000"/>
      <name val="Arial"/>
      <family val="2"/>
    </font>
    <font>
      <i/>
      <u/>
      <sz val="9"/>
      <color theme="1"/>
      <name val="Arial"/>
      <family val="2"/>
    </font>
    <font>
      <i/>
      <u/>
      <sz val="8"/>
      <color rgb="FF000000"/>
      <name val="Arial"/>
      <family val="2"/>
    </font>
    <font>
      <u/>
      <sz val="9"/>
      <color rgb="FF000000"/>
      <name val="Arial"/>
      <family val="2"/>
    </font>
    <font>
      <u/>
      <sz val="8"/>
      <color rgb="FF000000"/>
      <name val="Arial"/>
      <family val="2"/>
    </font>
    <font>
      <b/>
      <u/>
      <sz val="11"/>
      <color theme="1"/>
      <name val="Calibri"/>
      <family val="2"/>
      <scheme val="minor"/>
    </font>
    <font>
      <i/>
      <u/>
      <sz val="8"/>
      <color theme="1"/>
      <name val="Calibri"/>
      <family val="2"/>
      <scheme val="minor"/>
    </font>
    <font>
      <u/>
      <sz val="11"/>
      <color theme="1"/>
      <name val="Calibri"/>
      <family val="2"/>
      <scheme val="minor"/>
    </font>
    <font>
      <u/>
      <sz val="8"/>
      <color theme="1"/>
      <name val="Calibri"/>
      <family val="2"/>
      <scheme val="minor"/>
    </font>
    <font>
      <b/>
      <i/>
      <sz val="8"/>
      <color theme="1"/>
      <name val="Calibri"/>
      <family val="2"/>
      <scheme val="minor"/>
    </font>
    <font>
      <b/>
      <i/>
      <sz val="9"/>
      <color rgb="FF000000"/>
      <name val="Arial"/>
      <family val="2"/>
    </font>
    <font>
      <b/>
      <i/>
      <sz val="8"/>
      <color rgb="FF000000"/>
      <name val="Arial"/>
      <family val="2"/>
    </font>
    <font>
      <sz val="8"/>
      <color theme="1"/>
      <name val="Arial Narrow"/>
      <family val="2"/>
    </font>
    <font>
      <i/>
      <u/>
      <sz val="8"/>
      <color theme="1"/>
      <name val="Arial Narrow"/>
      <family val="2"/>
    </font>
    <font>
      <b/>
      <sz val="9"/>
      <name val="Arial"/>
      <family val="2"/>
    </font>
    <font>
      <i/>
      <u/>
      <sz val="9"/>
      <name val="Arial"/>
      <family val="2"/>
    </font>
    <font>
      <sz val="8"/>
      <name val="Calibri"/>
      <family val="2"/>
      <scheme val="minor"/>
    </font>
    <font>
      <b/>
      <sz val="10"/>
      <name val="Arial Narrow"/>
      <family val="2"/>
    </font>
    <font>
      <sz val="8"/>
      <name val="Arial Narrow"/>
      <family val="2"/>
    </font>
    <font>
      <sz val="7"/>
      <name val="Arial Narrow"/>
      <family val="2"/>
    </font>
    <font>
      <b/>
      <sz val="8"/>
      <name val="Arial Narrow"/>
      <family val="2"/>
    </font>
    <font>
      <sz val="9"/>
      <name val="Arial Narrow"/>
      <family val="2"/>
    </font>
    <font>
      <sz val="10"/>
      <name val="Arial Narrow"/>
      <family val="2"/>
    </font>
    <font>
      <b/>
      <u/>
      <sz val="11"/>
      <name val="Arial Narrow"/>
      <family val="2"/>
    </font>
    <font>
      <sz val="12"/>
      <color rgb="FF000000"/>
      <name val="Arial Narrow"/>
      <family val="2"/>
    </font>
    <font>
      <b/>
      <sz val="15"/>
      <color theme="1"/>
      <name val="Arial Narrow"/>
      <family val="2"/>
    </font>
    <font>
      <sz val="15"/>
      <color rgb="FF000000"/>
      <name val="Calibri"/>
      <family val="2"/>
    </font>
    <font>
      <b/>
      <sz val="12"/>
      <color rgb="FF000000"/>
      <name val="Arial Narrow"/>
      <family val="2"/>
    </font>
    <font>
      <i/>
      <sz val="10"/>
      <color rgb="FF000000"/>
      <name val="Arial Narrow"/>
      <family val="2"/>
    </font>
    <font>
      <b/>
      <sz val="15"/>
      <color rgb="FF000000"/>
      <name val="Calibri"/>
      <family val="2"/>
    </font>
    <font>
      <b/>
      <u/>
      <sz val="12"/>
      <color theme="1"/>
      <name val="Arial Narrow"/>
      <family val="2"/>
    </font>
    <font>
      <b/>
      <sz val="12"/>
      <name val="Arial"/>
      <family val="2"/>
    </font>
    <font>
      <b/>
      <sz val="11"/>
      <name val="Arial"/>
      <family val="2"/>
    </font>
    <font>
      <b/>
      <sz val="8"/>
      <name val="Arial"/>
      <family val="2"/>
    </font>
    <font>
      <sz val="11"/>
      <name val="Arial"/>
      <family val="2"/>
    </font>
    <font>
      <sz val="8"/>
      <name val="Arial"/>
      <family val="2"/>
    </font>
    <font>
      <i/>
      <sz val="8"/>
      <name val="Arial Narrow"/>
      <family val="2"/>
    </font>
    <font>
      <sz val="8"/>
      <name val="Calibri"/>
      <family val="2"/>
    </font>
    <font>
      <sz val="8"/>
      <color rgb="FF000000"/>
      <name val="Calibri"/>
      <family val="2"/>
      <scheme val="minor"/>
    </font>
    <font>
      <sz val="8"/>
      <color rgb="FFFF0000"/>
      <name val="Calibri"/>
      <family val="2"/>
      <scheme val="minor"/>
    </font>
    <font>
      <sz val="8.8000000000000007"/>
      <name val="Calibri"/>
      <family val="2"/>
    </font>
    <font>
      <sz val="10"/>
      <name val="Calibri"/>
      <family val="2"/>
      <scheme val="minor"/>
    </font>
    <font>
      <b/>
      <sz val="8"/>
      <name val="Calibri"/>
      <family val="2"/>
      <scheme val="minor"/>
    </font>
    <font>
      <i/>
      <sz val="10"/>
      <name val="Arial Narrow"/>
      <family val="2"/>
    </font>
    <font>
      <i/>
      <u/>
      <sz val="11"/>
      <color theme="1"/>
      <name val="Calibri"/>
      <family val="2"/>
      <scheme val="minor"/>
    </font>
    <font>
      <b/>
      <i/>
      <sz val="11"/>
      <color theme="1"/>
      <name val="Calibri"/>
      <family val="2"/>
      <scheme val="minor"/>
    </font>
    <font>
      <i/>
      <u val="singleAccounting"/>
      <sz val="9"/>
      <color rgb="FF000000"/>
      <name val="Arial"/>
      <family val="2"/>
    </font>
    <font>
      <b/>
      <sz val="6"/>
      <color rgb="FF000000"/>
      <name val="Arial"/>
      <family val="2"/>
    </font>
    <font>
      <b/>
      <sz val="12"/>
      <color rgb="FF000000"/>
      <name val="Arial"/>
      <family val="2"/>
    </font>
    <font>
      <b/>
      <u/>
      <sz val="12"/>
      <color theme="1"/>
      <name val="Calibri"/>
      <family val="2"/>
      <scheme val="minor"/>
    </font>
    <font>
      <sz val="8"/>
      <color rgb="FFFF0000"/>
      <name val="Arial Narrow"/>
      <family val="2"/>
    </font>
    <font>
      <sz val="11"/>
      <color rgb="FFFF0000"/>
      <name val="Arial Narrow"/>
      <family val="2"/>
    </font>
    <font>
      <sz val="11"/>
      <color rgb="FFFF0000"/>
      <name val="Calibri"/>
      <family val="2"/>
    </font>
    <font>
      <sz val="10"/>
      <color rgb="FFFF0000"/>
      <name val="Arial Narrow"/>
      <family val="2"/>
    </font>
  </fonts>
  <fills count="2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2DBDB"/>
        <bgColor rgb="FFFFFFFF"/>
      </patternFill>
    </fill>
    <fill>
      <patternFill patternType="solid">
        <fgColor theme="0"/>
        <bgColor rgb="FF000000"/>
      </patternFill>
    </fill>
    <fill>
      <patternFill patternType="solid">
        <fgColor rgb="FFFFFFFF"/>
        <bgColor rgb="FFFFFFFF"/>
      </patternFill>
    </fill>
    <fill>
      <patternFill patternType="solid">
        <fgColor theme="8"/>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FF00"/>
        <bgColor rgb="FFFFFFFF"/>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auto="1"/>
      </left>
      <right style="medium">
        <color auto="1"/>
      </right>
      <top/>
      <bottom style="medium">
        <color auto="1"/>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auto="1"/>
      </bottom>
      <diagonal/>
    </border>
    <border>
      <left/>
      <right style="medium">
        <color rgb="FF000000"/>
      </right>
      <top/>
      <bottom style="thin">
        <color auto="1"/>
      </bottom>
      <diagonal/>
    </border>
    <border>
      <left style="medium">
        <color rgb="FF000000"/>
      </left>
      <right/>
      <top style="thin">
        <color auto="1"/>
      </top>
      <bottom style="thin">
        <color auto="1"/>
      </bottom>
      <diagonal/>
    </border>
    <border>
      <left/>
      <right style="medium">
        <color rgb="FF000000"/>
      </right>
      <top style="thin">
        <color auto="1"/>
      </top>
      <bottom style="thin">
        <color auto="1"/>
      </bottom>
      <diagonal/>
    </border>
    <border>
      <left/>
      <right style="thin">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right style="double">
        <color auto="1"/>
      </right>
      <top style="double">
        <color auto="1"/>
      </top>
      <bottom/>
      <diagonal/>
    </border>
    <border>
      <left/>
      <right style="double">
        <color auto="1"/>
      </right>
      <top style="thin">
        <color auto="1"/>
      </top>
      <bottom style="thin">
        <color auto="1"/>
      </bottom>
      <diagonal/>
    </border>
    <border>
      <left style="thin">
        <color indexed="64"/>
      </left>
      <right/>
      <top/>
      <bottom style="thin">
        <color indexed="64"/>
      </bottom>
      <diagonal/>
    </border>
  </borders>
  <cellStyleXfs count="26">
    <xf numFmtId="0" fontId="0" fillId="0" borderId="0"/>
    <xf numFmtId="43" fontId="1" fillId="0" borderId="0" applyFont="0" applyFill="0" applyBorder="0" applyAlignment="0" applyProtection="0"/>
    <xf numFmtId="0" fontId="1" fillId="0" borderId="0"/>
    <xf numFmtId="164" fontId="1" fillId="0" borderId="0" applyFont="0" applyFill="0" applyBorder="0" applyAlignment="0" applyProtection="0"/>
    <xf numFmtId="0" fontId="2" fillId="3" borderId="0">
      <alignment horizontal="left" vertical="top"/>
    </xf>
    <xf numFmtId="0" fontId="2" fillId="3" borderId="0">
      <alignment horizontal="right" vertical="top"/>
    </xf>
    <xf numFmtId="0" fontId="3" fillId="3" borderId="0">
      <alignment horizontal="left" vertical="top"/>
    </xf>
    <xf numFmtId="0" fontId="4" fillId="3" borderId="0">
      <alignment horizontal="left" vertical="top"/>
    </xf>
    <xf numFmtId="0" fontId="4" fillId="3" borderId="0">
      <alignment horizontal="right" vertical="top"/>
    </xf>
    <xf numFmtId="0" fontId="3" fillId="3" borderId="0">
      <alignment horizontal="right" vertical="top"/>
    </xf>
    <xf numFmtId="0" fontId="3" fillId="3" borderId="0">
      <alignment horizontal="right" vertical="top"/>
    </xf>
    <xf numFmtId="0" fontId="2" fillId="3" borderId="0">
      <alignment horizontal="left" vertical="top"/>
    </xf>
    <xf numFmtId="0" fontId="5" fillId="0" borderId="0"/>
    <xf numFmtId="0" fontId="5" fillId="0" borderId="0"/>
    <xf numFmtId="41" fontId="6" fillId="0" borderId="0" applyFont="0" applyFill="0" applyBorder="0" applyAlignment="0" applyProtection="0"/>
    <xf numFmtId="0" fontId="1" fillId="0" borderId="0"/>
    <xf numFmtId="43" fontId="1" fillId="0" borderId="0" applyFont="0" applyFill="0" applyBorder="0" applyAlignment="0" applyProtection="0"/>
    <xf numFmtId="0" fontId="14" fillId="3" borderId="0">
      <alignment horizontal="center" vertical="top"/>
    </xf>
    <xf numFmtId="0" fontId="23" fillId="3" borderId="0">
      <alignment horizontal="center" vertical="top"/>
    </xf>
    <xf numFmtId="0" fontId="23" fillId="3" borderId="0">
      <alignment horizontal="left" vertical="top"/>
    </xf>
    <xf numFmtId="0" fontId="23" fillId="3" borderId="0">
      <alignment horizontal="right" vertical="top"/>
    </xf>
    <xf numFmtId="0" fontId="14" fillId="3" borderId="0">
      <alignment horizontal="right" vertical="center"/>
    </xf>
    <xf numFmtId="0" fontId="46" fillId="0" borderId="0"/>
    <xf numFmtId="41"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cellStyleXfs>
  <cellXfs count="823">
    <xf numFmtId="0" fontId="0" fillId="0" borderId="0" xfId="0"/>
    <xf numFmtId="0" fontId="7" fillId="2" borderId="0" xfId="0" applyFont="1" applyFill="1" applyAlignment="1">
      <alignment horizontal="center" vertical="center" wrapText="1" readingOrder="1"/>
    </xf>
    <xf numFmtId="0" fontId="8" fillId="2" borderId="0" xfId="0" applyFont="1" applyFill="1"/>
    <xf numFmtId="0" fontId="9" fillId="2" borderId="0" xfId="0" applyFont="1" applyFill="1" applyAlignment="1">
      <alignment vertical="center"/>
    </xf>
    <xf numFmtId="41" fontId="8" fillId="2" borderId="0" xfId="0" applyNumberFormat="1" applyFont="1" applyFill="1"/>
    <xf numFmtId="0" fontId="9" fillId="2" borderId="0" xfId="0" applyFont="1" applyFill="1" applyAlignment="1">
      <alignment horizontal="center" vertical="center"/>
    </xf>
    <xf numFmtId="0" fontId="8" fillId="2" borderId="0" xfId="0" applyFont="1" applyFill="1" applyAlignment="1">
      <alignment vertical="center"/>
    </xf>
    <xf numFmtId="0" fontId="10" fillId="2" borderId="9" xfId="0" applyFont="1" applyFill="1" applyBorder="1" applyAlignment="1">
      <alignment horizontal="center" vertical="center" wrapText="1" readingOrder="1"/>
    </xf>
    <xf numFmtId="0" fontId="11" fillId="0" borderId="0" xfId="0" applyFont="1" applyAlignment="1">
      <alignment horizontal="center"/>
    </xf>
    <xf numFmtId="0" fontId="12" fillId="2" borderId="0" xfId="0" applyFont="1" applyFill="1" applyAlignment="1">
      <alignment vertical="center" wrapText="1"/>
    </xf>
    <xf numFmtId="0" fontId="12" fillId="0" borderId="0" xfId="0" applyFont="1" applyAlignment="1">
      <alignment vertical="center" wrapText="1"/>
    </xf>
    <xf numFmtId="43" fontId="17" fillId="4" borderId="1" xfId="17" applyNumberFormat="1" applyFont="1" applyFill="1" applyBorder="1" applyAlignment="1">
      <alignment horizontal="center" vertical="center" wrapText="1"/>
    </xf>
    <xf numFmtId="0" fontId="17" fillId="2" borderId="1" xfId="19" applyFont="1" applyFill="1" applyBorder="1" applyAlignment="1">
      <alignment horizontal="left" vertical="center" wrapText="1"/>
    </xf>
    <xf numFmtId="43" fontId="17" fillId="2" borderId="1" xfId="20" applyNumberFormat="1" applyFont="1" applyFill="1" applyBorder="1" applyAlignment="1">
      <alignment horizontal="right" vertical="center" wrapText="1"/>
    </xf>
    <xf numFmtId="43" fontId="27" fillId="2" borderId="1" xfId="20" applyNumberFormat="1" applyFont="1" applyFill="1" applyBorder="1" applyAlignment="1">
      <alignment horizontal="right" vertical="center" wrapText="1"/>
    </xf>
    <xf numFmtId="0" fontId="27" fillId="2" borderId="1" xfId="19" applyFont="1" applyFill="1" applyBorder="1" applyAlignment="1">
      <alignment horizontal="left" vertical="center" wrapText="1"/>
    </xf>
    <xf numFmtId="0" fontId="17" fillId="0" borderId="1" xfId="19" applyFont="1" applyFill="1" applyBorder="1" applyAlignment="1">
      <alignment horizontal="left" vertical="center" wrapText="1"/>
    </xf>
    <xf numFmtId="43" fontId="17" fillId="0" borderId="1" xfId="20" applyNumberFormat="1" applyFont="1" applyFill="1" applyBorder="1" applyAlignment="1">
      <alignment horizontal="right" vertical="center" wrapText="1"/>
    </xf>
    <xf numFmtId="0" fontId="17" fillId="0" borderId="1" xfId="17" applyFont="1" applyFill="1" applyBorder="1" applyAlignment="1">
      <alignment horizontal="left" vertical="center" wrapText="1"/>
    </xf>
    <xf numFmtId="0" fontId="17" fillId="2" borderId="1" xfId="17" applyFont="1" applyFill="1" applyBorder="1" applyAlignment="1">
      <alignment horizontal="left" vertical="center" wrapText="1"/>
    </xf>
    <xf numFmtId="43" fontId="17" fillId="0" borderId="1" xfId="17" applyNumberFormat="1" applyFont="1" applyFill="1" applyBorder="1" applyAlignment="1">
      <alignment horizontal="center" vertical="center" wrapText="1"/>
    </xf>
    <xf numFmtId="43" fontId="30" fillId="2" borderId="1" xfId="20" applyNumberFormat="1" applyFont="1" applyFill="1" applyBorder="1" applyAlignment="1">
      <alignment horizontal="right" vertical="center" wrapText="1"/>
    </xf>
    <xf numFmtId="0" fontId="13" fillId="2" borderId="1" xfId="19" applyFont="1" applyFill="1" applyBorder="1" applyAlignment="1">
      <alignment horizontal="left" vertical="center" wrapText="1"/>
    </xf>
    <xf numFmtId="0" fontId="0" fillId="0" borderId="0" xfId="0" applyAlignment="1">
      <alignment vertical="center" wrapText="1"/>
    </xf>
    <xf numFmtId="0" fontId="31" fillId="0" borderId="0" xfId="0" applyFont="1" applyAlignment="1">
      <alignment horizontal="center" vertical="center" wrapText="1"/>
    </xf>
    <xf numFmtId="0" fontId="12" fillId="0" borderId="0" xfId="0" applyFont="1" applyAlignment="1">
      <alignment horizontal="left" vertical="center" wrapText="1"/>
    </xf>
    <xf numFmtId="0" fontId="0" fillId="2" borderId="0" xfId="0" applyFill="1" applyAlignment="1">
      <alignment vertical="center" wrapText="1"/>
    </xf>
    <xf numFmtId="43" fontId="16" fillId="2" borderId="0" xfId="21" applyNumberFormat="1" applyFont="1" applyFill="1" applyAlignment="1">
      <alignment horizontal="right" vertical="center" wrapText="1"/>
    </xf>
    <xf numFmtId="43" fontId="17" fillId="0" borderId="0" xfId="21" applyNumberFormat="1" applyFont="1" applyFill="1" applyAlignment="1">
      <alignment horizontal="right" vertical="center" wrapText="1"/>
    </xf>
    <xf numFmtId="0" fontId="0" fillId="2" borderId="0" xfId="0" applyFill="1" applyAlignment="1">
      <alignment horizontal="left"/>
    </xf>
    <xf numFmtId="43" fontId="16" fillId="0" borderId="0" xfId="21" applyNumberFormat="1" applyFont="1" applyFill="1" applyAlignment="1">
      <alignment horizontal="right" vertical="center" wrapText="1"/>
    </xf>
    <xf numFmtId="43" fontId="17" fillId="0" borderId="0" xfId="17" applyNumberFormat="1" applyFont="1" applyFill="1" applyAlignment="1">
      <alignment horizontal="center" vertical="center" wrapText="1"/>
    </xf>
    <xf numFmtId="43" fontId="16" fillId="0" borderId="1" xfId="17" applyNumberFormat="1" applyFont="1" applyFill="1" applyBorder="1" applyAlignment="1">
      <alignment horizontal="center" vertical="center" wrapText="1"/>
    </xf>
    <xf numFmtId="0" fontId="34" fillId="0" borderId="0" xfId="0" applyFont="1"/>
    <xf numFmtId="0" fontId="34" fillId="0" borderId="1" xfId="0" applyFont="1" applyBorder="1" applyAlignment="1">
      <alignment horizontal="center" vertical="center"/>
    </xf>
    <xf numFmtId="0" fontId="34" fillId="0" borderId="1" xfId="0" applyFont="1" applyBorder="1" applyAlignment="1">
      <alignment vertical="center" wrapText="1"/>
    </xf>
    <xf numFmtId="41" fontId="34" fillId="0" borderId="1" xfId="0" quotePrefix="1" applyNumberFormat="1" applyFont="1" applyBorder="1" applyAlignment="1">
      <alignment vertical="center"/>
    </xf>
    <xf numFmtId="0" fontId="34" fillId="0" borderId="1" xfId="0" applyFont="1" applyBorder="1" applyAlignment="1">
      <alignment horizontal="center" vertical="center" wrapText="1"/>
    </xf>
    <xf numFmtId="41" fontId="34" fillId="0" borderId="1" xfId="0" applyNumberFormat="1" applyFont="1" applyBorder="1" applyAlignment="1">
      <alignment horizontal="center" vertical="center" wrapText="1"/>
    </xf>
    <xf numFmtId="15" fontId="34" fillId="0" borderId="1" xfId="0" quotePrefix="1" applyNumberFormat="1" applyFont="1" applyBorder="1" applyAlignment="1">
      <alignment horizontal="center" vertical="center" wrapText="1"/>
    </xf>
    <xf numFmtId="43" fontId="34" fillId="0" borderId="1" xfId="0" quotePrefix="1" applyNumberFormat="1" applyFont="1" applyBorder="1" applyAlignment="1">
      <alignment horizontal="center" vertical="center" wrapText="1"/>
    </xf>
    <xf numFmtId="4" fontId="34" fillId="2" borderId="1" xfId="0" applyNumberFormat="1" applyFont="1" applyFill="1" applyBorder="1" applyAlignment="1">
      <alignment horizontal="right" vertical="center"/>
    </xf>
    <xf numFmtId="165" fontId="34" fillId="2" borderId="1" xfId="0" quotePrefix="1" applyNumberFormat="1" applyFont="1" applyFill="1" applyBorder="1" applyAlignment="1">
      <alignment horizontal="right" vertical="center"/>
    </xf>
    <xf numFmtId="4" fontId="34" fillId="2" borderId="1" xfId="0" quotePrefix="1" applyNumberFormat="1" applyFont="1" applyFill="1" applyBorder="1" applyAlignment="1">
      <alignment horizontal="right" vertical="center"/>
    </xf>
    <xf numFmtId="0" fontId="34" fillId="0" borderId="20" xfId="0" applyFont="1" applyBorder="1" applyAlignment="1">
      <alignment vertical="center" wrapText="1"/>
    </xf>
    <xf numFmtId="0" fontId="37" fillId="0" borderId="0" xfId="0" applyFont="1" applyAlignment="1">
      <alignment vertical="center"/>
    </xf>
    <xf numFmtId="0" fontId="37" fillId="0" borderId="0" xfId="0" applyFont="1"/>
    <xf numFmtId="0" fontId="36" fillId="0" borderId="0" xfId="0" applyFont="1"/>
    <xf numFmtId="41" fontId="37" fillId="0" borderId="0" xfId="0" applyNumberFormat="1" applyFont="1"/>
    <xf numFmtId="43" fontId="39" fillId="0" borderId="0" xfId="0" applyNumberFormat="1" applyFont="1"/>
    <xf numFmtId="0" fontId="42" fillId="0" borderId="0" xfId="0" applyFont="1"/>
    <xf numFmtId="0" fontId="44" fillId="0" borderId="0" xfId="0" applyFont="1"/>
    <xf numFmtId="0" fontId="44" fillId="0" borderId="0" xfId="0" applyFont="1" applyAlignment="1">
      <alignment wrapText="1"/>
    </xf>
    <xf numFmtId="0" fontId="45" fillId="0" borderId="0" xfId="0" applyFont="1"/>
    <xf numFmtId="0" fontId="34" fillId="7" borderId="1" xfId="0" applyFont="1" applyFill="1" applyBorder="1" applyAlignment="1">
      <alignment horizontal="center"/>
    </xf>
    <xf numFmtId="0" fontId="35" fillId="0" borderId="7" xfId="0" applyFont="1" applyBorder="1" applyAlignment="1">
      <alignment horizontal="left" vertical="center"/>
    </xf>
    <xf numFmtId="0" fontId="35" fillId="0" borderId="32" xfId="0" applyFont="1" applyBorder="1" applyAlignment="1">
      <alignment horizontal="left" vertical="center"/>
    </xf>
    <xf numFmtId="0" fontId="34" fillId="0" borderId="1" xfId="0" quotePrefix="1" applyFont="1" applyBorder="1" applyAlignment="1">
      <alignment horizontal="center" vertical="center"/>
    </xf>
    <xf numFmtId="0" fontId="34" fillId="0" borderId="8" xfId="0" applyFont="1" applyBorder="1" applyAlignment="1">
      <alignment vertical="center" wrapText="1"/>
    </xf>
    <xf numFmtId="41" fontId="33" fillId="0" borderId="1" xfId="0" applyNumberFormat="1" applyFont="1" applyBorder="1" applyAlignment="1">
      <alignment vertical="center"/>
    </xf>
    <xf numFmtId="4" fontId="34" fillId="2" borderId="1" xfId="0" applyNumberFormat="1" applyFont="1" applyFill="1" applyBorder="1" applyAlignment="1">
      <alignment vertical="center"/>
    </xf>
    <xf numFmtId="4" fontId="34" fillId="2" borderId="6" xfId="0" quotePrefix="1" applyNumberFormat="1" applyFont="1" applyFill="1" applyBorder="1" applyAlignment="1">
      <alignment horizontal="right" vertical="center"/>
    </xf>
    <xf numFmtId="0" fontId="34" fillId="0" borderId="0" xfId="0" applyFont="1" applyAlignment="1">
      <alignment wrapText="1"/>
    </xf>
    <xf numFmtId="0" fontId="36" fillId="0" borderId="0" xfId="0" applyFont="1" applyAlignment="1">
      <alignment wrapText="1"/>
    </xf>
    <xf numFmtId="0" fontId="0" fillId="0" borderId="0" xfId="0" applyAlignment="1">
      <alignment wrapText="1"/>
    </xf>
    <xf numFmtId="0" fontId="47" fillId="0" borderId="0" xfId="0" applyFont="1"/>
    <xf numFmtId="0" fontId="48" fillId="0" borderId="0" xfId="0" applyFont="1"/>
    <xf numFmtId="0" fontId="48" fillId="0" borderId="0" xfId="0" applyFont="1" applyAlignment="1">
      <alignment horizontal="right"/>
    </xf>
    <xf numFmtId="0" fontId="49" fillId="0" borderId="0" xfId="0" applyFont="1"/>
    <xf numFmtId="0" fontId="48" fillId="7" borderId="24" xfId="0" applyFont="1" applyFill="1" applyBorder="1" applyAlignment="1">
      <alignment horizontal="center" wrapText="1"/>
    </xf>
    <xf numFmtId="0" fontId="48" fillId="7" borderId="24" xfId="0" applyFont="1" applyFill="1" applyBorder="1" applyAlignment="1">
      <alignment horizontal="center" vertical="center"/>
    </xf>
    <xf numFmtId="0" fontId="50" fillId="0" borderId="21" xfId="0" applyFont="1" applyBorder="1" applyAlignment="1">
      <alignment horizontal="center" vertical="center"/>
    </xf>
    <xf numFmtId="0" fontId="50" fillId="0" borderId="22" xfId="0" applyFont="1" applyBorder="1" applyAlignment="1">
      <alignment horizontal="center" vertical="center"/>
    </xf>
    <xf numFmtId="0" fontId="50" fillId="0" borderId="26" xfId="0" applyFont="1" applyBorder="1" applyAlignment="1">
      <alignment horizontal="center" vertical="center"/>
    </xf>
    <xf numFmtId="0" fontId="50" fillId="0" borderId="26" xfId="0" applyFont="1" applyBorder="1" applyAlignment="1">
      <alignment horizontal="center" vertical="center" wrapText="1"/>
    </xf>
    <xf numFmtId="0" fontId="50" fillId="0" borderId="27" xfId="0" applyFont="1" applyBorder="1" applyAlignment="1">
      <alignment horizontal="center" vertical="center"/>
    </xf>
    <xf numFmtId="0" fontId="50" fillId="0" borderId="28" xfId="0" applyFont="1" applyBorder="1" applyAlignment="1">
      <alignment horizontal="center" vertical="center"/>
    </xf>
    <xf numFmtId="0" fontId="0" fillId="0" borderId="19" xfId="0" applyBorder="1"/>
    <xf numFmtId="0" fontId="48" fillId="0" borderId="1" xfId="0" applyFont="1" applyBorder="1" applyAlignment="1">
      <alignment horizontal="center" vertical="center"/>
    </xf>
    <xf numFmtId="0" fontId="48" fillId="0" borderId="1" xfId="0" applyFont="1" applyBorder="1" applyAlignment="1">
      <alignment vertical="center" wrapText="1"/>
    </xf>
    <xf numFmtId="41" fontId="48" fillId="0" borderId="1" xfId="0" quotePrefix="1" applyNumberFormat="1" applyFont="1" applyBorder="1" applyAlignment="1">
      <alignment vertical="center"/>
    </xf>
    <xf numFmtId="0" fontId="48" fillId="0" borderId="1" xfId="0" applyFont="1" applyBorder="1" applyAlignment="1">
      <alignment horizontal="center" vertical="center" wrapText="1"/>
    </xf>
    <xf numFmtId="41" fontId="48" fillId="0" borderId="1" xfId="0" applyNumberFormat="1" applyFont="1" applyBorder="1" applyAlignment="1">
      <alignment horizontal="center" vertical="center" wrapText="1"/>
    </xf>
    <xf numFmtId="15" fontId="48" fillId="0" borderId="1" xfId="0" applyNumberFormat="1" applyFont="1" applyBorder="1" applyAlignment="1">
      <alignment horizontal="center" vertical="center" wrapText="1"/>
    </xf>
    <xf numFmtId="43" fontId="48" fillId="0" borderId="1" xfId="0" applyNumberFormat="1" applyFont="1" applyBorder="1" applyAlignment="1">
      <alignment horizontal="center" vertical="center" wrapText="1"/>
    </xf>
    <xf numFmtId="4" fontId="48" fillId="2" borderId="1" xfId="0" applyNumberFormat="1" applyFont="1" applyFill="1" applyBorder="1" applyAlignment="1">
      <alignment horizontal="right" vertical="center"/>
    </xf>
    <xf numFmtId="165" fontId="48" fillId="2" borderId="1" xfId="0" quotePrefix="1" applyNumberFormat="1" applyFont="1" applyFill="1" applyBorder="1" applyAlignment="1">
      <alignment horizontal="right" vertical="center"/>
    </xf>
    <xf numFmtId="4" fontId="48" fillId="2" borderId="1" xfId="0" quotePrefix="1" applyNumberFormat="1" applyFont="1" applyFill="1" applyBorder="1" applyAlignment="1">
      <alignment horizontal="right" vertical="center"/>
    </xf>
    <xf numFmtId="0" fontId="0" fillId="0" borderId="33" xfId="0" applyBorder="1"/>
    <xf numFmtId="0" fontId="46" fillId="0" borderId="33" xfId="0" applyFont="1" applyBorder="1" applyAlignment="1">
      <alignment horizontal="center" vertical="center"/>
    </xf>
    <xf numFmtId="41" fontId="42" fillId="0" borderId="27" xfId="0" applyNumberFormat="1" applyFont="1" applyBorder="1" applyAlignment="1">
      <alignment vertical="center"/>
    </xf>
    <xf numFmtId="0" fontId="48" fillId="0" borderId="27" xfId="0" applyFont="1" applyBorder="1" applyAlignment="1">
      <alignment horizontal="center" vertical="center"/>
    </xf>
    <xf numFmtId="0" fontId="48" fillId="0" borderId="27" xfId="0" applyFont="1" applyBorder="1" applyAlignment="1">
      <alignment horizontal="center" vertical="center" wrapText="1"/>
    </xf>
    <xf numFmtId="41" fontId="48" fillId="0" borderId="27" xfId="0" applyNumberFormat="1" applyFont="1" applyBorder="1" applyAlignment="1">
      <alignment vertical="center"/>
    </xf>
    <xf numFmtId="41" fontId="48" fillId="0" borderId="27" xfId="0" applyNumberFormat="1" applyFont="1" applyBorder="1" applyAlignment="1">
      <alignment horizontal="center" vertical="center" wrapText="1"/>
    </xf>
    <xf numFmtId="4" fontId="48" fillId="2" borderId="27" xfId="0" quotePrefix="1" applyNumberFormat="1" applyFont="1" applyFill="1" applyBorder="1" applyAlignment="1">
      <alignment horizontal="right" vertical="center"/>
    </xf>
    <xf numFmtId="4" fontId="48" fillId="2" borderId="27" xfId="0" applyNumberFormat="1" applyFont="1" applyFill="1" applyBorder="1" applyAlignment="1">
      <alignment vertical="center"/>
    </xf>
    <xf numFmtId="41" fontId="48" fillId="0" borderId="27" xfId="0" quotePrefix="1" applyNumberFormat="1" applyFont="1" applyBorder="1" applyAlignment="1">
      <alignment vertical="center"/>
    </xf>
    <xf numFmtId="3" fontId="48" fillId="2" borderId="38" xfId="0" quotePrefix="1" applyNumberFormat="1" applyFont="1" applyFill="1" applyBorder="1" applyAlignment="1">
      <alignment horizontal="right" vertical="center"/>
    </xf>
    <xf numFmtId="0" fontId="48" fillId="0" borderId="39" xfId="0" applyFont="1" applyBorder="1" applyAlignment="1">
      <alignment vertical="center" wrapText="1"/>
    </xf>
    <xf numFmtId="0" fontId="52" fillId="0" borderId="0" xfId="0" applyFont="1" applyAlignment="1">
      <alignment vertical="center"/>
    </xf>
    <xf numFmtId="0" fontId="52" fillId="0" borderId="0" xfId="0" applyFont="1"/>
    <xf numFmtId="0" fontId="53" fillId="0" borderId="0" xfId="0" applyFont="1"/>
    <xf numFmtId="41" fontId="52" fillId="0" borderId="0" xfId="0" applyNumberFormat="1" applyFont="1"/>
    <xf numFmtId="43" fontId="55" fillId="0" borderId="0" xfId="0" applyNumberFormat="1" applyFont="1"/>
    <xf numFmtId="0" fontId="34" fillId="0" borderId="7" xfId="0" applyFont="1" applyBorder="1" applyAlignment="1">
      <alignment horizontal="center" vertical="center"/>
    </xf>
    <xf numFmtId="0" fontId="42" fillId="0" borderId="31" xfId="0" applyFont="1" applyBorder="1" applyAlignment="1">
      <alignment horizontal="center" vertical="center"/>
    </xf>
    <xf numFmtId="0" fontId="56" fillId="0" borderId="31" xfId="0" applyFont="1" applyBorder="1" applyAlignment="1">
      <alignment horizontal="center" vertical="center"/>
    </xf>
    <xf numFmtId="0" fontId="50" fillId="0" borderId="41" xfId="0" applyFont="1" applyBorder="1" applyAlignment="1">
      <alignment horizontal="center"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0" fillId="0" borderId="20" xfId="0" applyFont="1" applyBorder="1" applyAlignment="1">
      <alignment horizontal="center" vertical="center"/>
    </xf>
    <xf numFmtId="0" fontId="33" fillId="0" borderId="1" xfId="0" applyFont="1" applyBorder="1" applyAlignment="1">
      <alignment horizontal="center" vertical="center"/>
    </xf>
    <xf numFmtId="0" fontId="57" fillId="2" borderId="1" xfId="0" applyFont="1" applyFill="1" applyBorder="1" applyAlignment="1">
      <alignment horizontal="center" vertical="center" wrapText="1" readingOrder="1"/>
    </xf>
    <xf numFmtId="0" fontId="58" fillId="2" borderId="1" xfId="0" applyFont="1" applyFill="1" applyBorder="1" applyAlignment="1">
      <alignment horizontal="left" vertical="center" wrapText="1" readingOrder="1"/>
    </xf>
    <xf numFmtId="0" fontId="58" fillId="2" borderId="1" xfId="0" applyFont="1" applyFill="1" applyBorder="1" applyAlignment="1">
      <alignment horizontal="center" vertical="center" wrapText="1" readingOrder="1"/>
    </xf>
    <xf numFmtId="0" fontId="59" fillId="2" borderId="1" xfId="0" applyFont="1" applyFill="1" applyBorder="1" applyAlignment="1">
      <alignment horizontal="center" vertical="center" wrapText="1" readingOrder="1"/>
    </xf>
    <xf numFmtId="41" fontId="59" fillId="2" borderId="1" xfId="0" applyNumberFormat="1" applyFont="1" applyFill="1" applyBorder="1" applyAlignment="1">
      <alignment horizontal="center" vertical="center" wrapText="1" readingOrder="1"/>
    </xf>
    <xf numFmtId="0" fontId="57" fillId="2" borderId="1" xfId="0" applyFont="1" applyFill="1" applyBorder="1" applyAlignment="1">
      <alignment horizontal="left" vertical="center" wrapText="1" readingOrder="1"/>
    </xf>
    <xf numFmtId="41" fontId="60" fillId="2" borderId="1" xfId="0" applyNumberFormat="1" applyFont="1" applyFill="1" applyBorder="1" applyAlignment="1">
      <alignment vertical="center"/>
    </xf>
    <xf numFmtId="0" fontId="60" fillId="2" borderId="1" xfId="0" applyFont="1" applyFill="1" applyBorder="1" applyAlignment="1">
      <alignment vertical="center"/>
    </xf>
    <xf numFmtId="0" fontId="61" fillId="2" borderId="0" xfId="0" applyFont="1" applyFill="1"/>
    <xf numFmtId="41" fontId="61" fillId="2" borderId="0" xfId="0" applyNumberFormat="1" applyFont="1" applyFill="1"/>
    <xf numFmtId="41" fontId="61" fillId="2" borderId="0" xfId="0" applyNumberFormat="1" applyFont="1" applyFill="1" applyAlignment="1">
      <alignment horizontal="right"/>
    </xf>
    <xf numFmtId="41" fontId="62" fillId="2" borderId="0" xfId="0" applyNumberFormat="1" applyFont="1" applyFill="1"/>
    <xf numFmtId="0" fontId="58" fillId="4" borderId="1" xfId="0" applyFont="1" applyFill="1" applyBorder="1" applyAlignment="1">
      <alignment horizontal="center" vertical="center" wrapText="1" readingOrder="1"/>
    </xf>
    <xf numFmtId="41" fontId="58" fillId="4" borderId="1" xfId="0" applyNumberFormat="1" applyFont="1" applyFill="1" applyBorder="1" applyAlignment="1">
      <alignment horizontal="center" vertical="center" wrapText="1" readingOrder="1"/>
    </xf>
    <xf numFmtId="0" fontId="20" fillId="2" borderId="0" xfId="0" applyFont="1" applyFill="1" applyAlignment="1">
      <alignment vertical="center" wrapText="1"/>
    </xf>
    <xf numFmtId="43" fontId="23" fillId="4" borderId="1" xfId="17" applyNumberFormat="1" applyFont="1" applyFill="1" applyBorder="1" applyAlignment="1">
      <alignment horizontal="center" vertical="center" wrapText="1"/>
    </xf>
    <xf numFmtId="43" fontId="16" fillId="4" borderId="1" xfId="17" applyNumberFormat="1" applyFont="1" applyFill="1" applyBorder="1" applyAlignment="1">
      <alignment horizontal="center" vertical="center" wrapText="1"/>
    </xf>
    <xf numFmtId="0" fontId="65" fillId="11" borderId="1" xfId="18" applyFont="1" applyFill="1" applyBorder="1" applyAlignment="1">
      <alignment vertical="center" wrapText="1"/>
    </xf>
    <xf numFmtId="0" fontId="27" fillId="11" borderId="1" xfId="18" applyFont="1" applyFill="1" applyBorder="1" applyAlignment="1">
      <alignment horizontal="center" vertical="center" wrapText="1"/>
    </xf>
    <xf numFmtId="43" fontId="66" fillId="11" borderId="1" xfId="16" applyFont="1" applyFill="1" applyBorder="1" applyAlignment="1">
      <alignment vertical="center" wrapText="1"/>
    </xf>
    <xf numFmtId="43" fontId="67" fillId="11" borderId="1" xfId="17" applyNumberFormat="1" applyFont="1" applyFill="1" applyBorder="1" applyAlignment="1">
      <alignment horizontal="center" vertical="center" wrapText="1"/>
    </xf>
    <xf numFmtId="43" fontId="65" fillId="11" borderId="1" xfId="17" applyNumberFormat="1" applyFont="1" applyFill="1" applyBorder="1" applyAlignment="1">
      <alignment horizontal="center" vertical="center" wrapText="1"/>
    </xf>
    <xf numFmtId="43" fontId="17" fillId="11" borderId="1" xfId="17" applyNumberFormat="1" applyFont="1" applyFill="1" applyBorder="1" applyAlignment="1">
      <alignment horizontal="center" vertical="center" wrapText="1"/>
    </xf>
    <xf numFmtId="43" fontId="23" fillId="2" borderId="1" xfId="17" applyNumberFormat="1" applyFont="1" applyFill="1" applyBorder="1" applyAlignment="1">
      <alignment horizontal="center" vertical="center" wrapText="1"/>
    </xf>
    <xf numFmtId="0" fontId="27" fillId="2" borderId="1" xfId="18" applyFont="1" applyFill="1" applyBorder="1" applyAlignment="1">
      <alignment vertical="center"/>
    </xf>
    <xf numFmtId="43" fontId="27" fillId="0" borderId="1" xfId="20" applyNumberFormat="1" applyFont="1" applyFill="1" applyBorder="1" applyAlignment="1">
      <alignment horizontal="right" vertical="center" wrapText="1"/>
    </xf>
    <xf numFmtId="0" fontId="68" fillId="11" borderId="1" xfId="19" applyFont="1" applyFill="1" applyBorder="1" applyAlignment="1">
      <alignment horizontal="left" vertical="center" wrapText="1"/>
    </xf>
    <xf numFmtId="43" fontId="68" fillId="11" borderId="1" xfId="20" applyNumberFormat="1" applyFont="1" applyFill="1" applyBorder="1" applyAlignment="1">
      <alignment horizontal="right" vertical="center" wrapText="1"/>
    </xf>
    <xf numFmtId="43" fontId="69" fillId="11" borderId="1" xfId="17" applyNumberFormat="1" applyFont="1" applyFill="1" applyBorder="1" applyAlignment="1">
      <alignment horizontal="center" vertical="center" wrapText="1"/>
    </xf>
    <xf numFmtId="43" fontId="68" fillId="11" borderId="1" xfId="17" applyNumberFormat="1" applyFont="1" applyFill="1" applyBorder="1" applyAlignment="1">
      <alignment horizontal="center" vertical="center" wrapText="1"/>
    </xf>
    <xf numFmtId="0" fontId="65" fillId="11" borderId="1" xfId="19" applyFont="1" applyFill="1" applyBorder="1" applyAlignment="1">
      <alignment horizontal="left" vertical="center" wrapText="1"/>
    </xf>
    <xf numFmtId="43" fontId="65" fillId="11" borderId="1" xfId="20" applyNumberFormat="1" applyFont="1" applyFill="1" applyBorder="1" applyAlignment="1">
      <alignment horizontal="right" vertical="center" wrapText="1"/>
    </xf>
    <xf numFmtId="43" fontId="23" fillId="2" borderId="1" xfId="20" applyNumberFormat="1" applyFill="1" applyBorder="1" applyAlignment="1">
      <alignment horizontal="right" vertical="center" wrapText="1"/>
    </xf>
    <xf numFmtId="0" fontId="65" fillId="11" borderId="1" xfId="17" applyFont="1" applyFill="1" applyBorder="1" applyAlignment="1">
      <alignment horizontal="left" vertical="center" wrapText="1"/>
    </xf>
    <xf numFmtId="0" fontId="27" fillId="11" borderId="1" xfId="19" applyFont="1" applyFill="1" applyBorder="1" applyAlignment="1">
      <alignment horizontal="center" vertical="center" wrapText="1"/>
    </xf>
    <xf numFmtId="0" fontId="16" fillId="4" borderId="1" xfId="19" applyFont="1" applyFill="1" applyBorder="1" applyAlignment="1">
      <alignment horizontal="left" vertical="center" wrapText="1"/>
    </xf>
    <xf numFmtId="43" fontId="16" fillId="4" borderId="1" xfId="20" applyNumberFormat="1" applyFont="1" applyFill="1" applyBorder="1" applyAlignment="1">
      <alignment horizontal="right" vertical="center" wrapText="1"/>
    </xf>
    <xf numFmtId="43" fontId="14" fillId="4" borderId="1" xfId="17" applyNumberFormat="1" applyFill="1" applyBorder="1" applyAlignment="1">
      <alignment horizontal="center" vertical="center" wrapText="1"/>
    </xf>
    <xf numFmtId="0" fontId="27" fillId="0" borderId="1" xfId="19" applyFont="1" applyFill="1" applyBorder="1" applyAlignment="1">
      <alignment horizontal="left" vertical="center" wrapText="1"/>
    </xf>
    <xf numFmtId="43" fontId="30" fillId="0" borderId="1" xfId="20" applyNumberFormat="1" applyFont="1" applyFill="1" applyBorder="1" applyAlignment="1">
      <alignment horizontal="right" vertical="center" wrapText="1"/>
    </xf>
    <xf numFmtId="0" fontId="80" fillId="11" borderId="1" xfId="19" applyFont="1" applyFill="1" applyBorder="1" applyAlignment="1">
      <alignment horizontal="left" vertical="center" wrapText="1"/>
    </xf>
    <xf numFmtId="43" fontId="23" fillId="11" borderId="1" xfId="17" applyNumberFormat="1" applyFont="1" applyFill="1" applyBorder="1" applyAlignment="1">
      <alignment horizontal="center" vertical="center" wrapText="1"/>
    </xf>
    <xf numFmtId="0" fontId="19" fillId="0" borderId="0" xfId="0" applyFont="1" applyAlignment="1">
      <alignment horizontal="left"/>
    </xf>
    <xf numFmtId="43" fontId="14" fillId="0" borderId="0" xfId="17" applyNumberFormat="1" applyFill="1" applyAlignment="1">
      <alignment horizontal="center" vertical="center" wrapText="1"/>
    </xf>
    <xf numFmtId="43" fontId="16" fillId="0" borderId="0" xfId="17" applyNumberFormat="1" applyFont="1" applyFill="1" applyAlignment="1">
      <alignment horizontal="center" vertical="center" wrapText="1"/>
    </xf>
    <xf numFmtId="0" fontId="53" fillId="0" borderId="0" xfId="0" applyFont="1" applyAlignment="1">
      <alignment wrapText="1"/>
    </xf>
    <xf numFmtId="0" fontId="83" fillId="12" borderId="69" xfId="0" applyFont="1" applyFill="1" applyBorder="1" applyAlignment="1">
      <alignment horizontal="center" vertical="center" wrapText="1"/>
    </xf>
    <xf numFmtId="0" fontId="83" fillId="12" borderId="70" xfId="0" applyFont="1" applyFill="1" applyBorder="1" applyAlignment="1">
      <alignment horizontal="center" vertical="center" wrapText="1"/>
    </xf>
    <xf numFmtId="0" fontId="83" fillId="12" borderId="72" xfId="0" applyFont="1" applyFill="1" applyBorder="1" applyAlignment="1">
      <alignment horizontal="center" vertical="center" wrapText="1"/>
    </xf>
    <xf numFmtId="0" fontId="83" fillId="0" borderId="73" xfId="0" applyFont="1" applyBorder="1" applyAlignment="1">
      <alignment wrapText="1"/>
    </xf>
    <xf numFmtId="0" fontId="83" fillId="0" borderId="74" xfId="0" applyFont="1" applyBorder="1" applyAlignment="1">
      <alignment wrapText="1"/>
    </xf>
    <xf numFmtId="0" fontId="53" fillId="0" borderId="74" xfId="0" applyFont="1" applyBorder="1" applyAlignment="1">
      <alignment wrapText="1"/>
    </xf>
    <xf numFmtId="0" fontId="83" fillId="0" borderId="74" xfId="0" applyFont="1" applyBorder="1" applyAlignment="1">
      <alignment horizontal="center" wrapText="1"/>
    </xf>
    <xf numFmtId="0" fontId="53" fillId="0" borderId="77" xfId="0" applyFont="1" applyBorder="1" applyAlignment="1">
      <alignment vertical="top" wrapText="1"/>
    </xf>
    <xf numFmtId="0" fontId="83" fillId="0" borderId="73" xfId="0" applyFont="1" applyBorder="1" applyAlignment="1">
      <alignment horizontal="center" vertical="center" wrapText="1"/>
    </xf>
    <xf numFmtId="0" fontId="83" fillId="0" borderId="74" xfId="0" applyFont="1" applyBorder="1" applyAlignment="1">
      <alignment horizontal="center" vertical="center" wrapText="1"/>
    </xf>
    <xf numFmtId="0" fontId="83" fillId="0" borderId="77" xfId="0" applyFont="1" applyBorder="1" applyAlignment="1">
      <alignment horizontal="center" vertical="top" wrapText="1"/>
    </xf>
    <xf numFmtId="0" fontId="84" fillId="0" borderId="74" xfId="0" applyFont="1" applyBorder="1" applyAlignment="1">
      <alignment horizontal="center" wrapText="1"/>
    </xf>
    <xf numFmtId="0" fontId="84" fillId="0" borderId="75" xfId="0" applyFont="1" applyBorder="1" applyAlignment="1">
      <alignment horizontal="center" wrapText="1"/>
    </xf>
    <xf numFmtId="0" fontId="53" fillId="0" borderId="74" xfId="0" applyFont="1" applyBorder="1" applyAlignment="1">
      <alignment horizontal="left" vertical="top" wrapText="1"/>
    </xf>
    <xf numFmtId="9" fontId="83" fillId="0" borderId="74" xfId="0" applyNumberFormat="1" applyFont="1" applyBorder="1" applyAlignment="1">
      <alignment horizontal="left" vertical="center" wrapText="1"/>
    </xf>
    <xf numFmtId="0" fontId="85" fillId="0" borderId="74" xfId="0" applyFont="1" applyBorder="1" applyAlignment="1">
      <alignment horizontal="left" vertical="top" wrapText="1"/>
    </xf>
    <xf numFmtId="0" fontId="83" fillId="0" borderId="74" xfId="0" applyFont="1" applyBorder="1" applyAlignment="1">
      <alignment horizontal="left" vertical="center" wrapText="1"/>
    </xf>
    <xf numFmtId="2" fontId="83" fillId="13" borderId="74" xfId="0" applyNumberFormat="1" applyFont="1" applyFill="1" applyBorder="1" applyAlignment="1">
      <alignment horizontal="right" vertical="center" wrapText="1"/>
    </xf>
    <xf numFmtId="167" fontId="83" fillId="13" borderId="74" xfId="0" applyNumberFormat="1" applyFont="1" applyFill="1" applyBorder="1" applyAlignment="1">
      <alignment horizontal="right" vertical="center" wrapText="1"/>
    </xf>
    <xf numFmtId="0" fontId="83" fillId="0" borderId="74" xfId="0" applyFont="1" applyBorder="1" applyAlignment="1">
      <alignment horizontal="right" vertical="center" wrapText="1"/>
    </xf>
    <xf numFmtId="167" fontId="83" fillId="0" borderId="74" xfId="0" applyNumberFormat="1" applyFont="1" applyBorder="1" applyAlignment="1">
      <alignment horizontal="right" vertical="center" wrapText="1"/>
    </xf>
    <xf numFmtId="167" fontId="83" fillId="0" borderId="74" xfId="0" applyNumberFormat="1" applyFont="1" applyBorder="1" applyAlignment="1">
      <alignment horizontal="center" vertical="center" wrapText="1"/>
    </xf>
    <xf numFmtId="10" fontId="83" fillId="0" borderId="74" xfId="0" applyNumberFormat="1" applyFont="1" applyBorder="1" applyAlignment="1">
      <alignment horizontal="right" vertical="center" wrapText="1"/>
    </xf>
    <xf numFmtId="10" fontId="83" fillId="13" borderId="74" xfId="0" applyNumberFormat="1" applyFont="1" applyFill="1" applyBorder="1" applyAlignment="1">
      <alignment horizontal="center" vertical="center" wrapText="1"/>
    </xf>
    <xf numFmtId="10" fontId="83" fillId="13" borderId="75" xfId="0" applyNumberFormat="1" applyFont="1" applyFill="1" applyBorder="1" applyAlignment="1">
      <alignment horizontal="center" vertical="center" wrapText="1"/>
    </xf>
    <xf numFmtId="0" fontId="85" fillId="0" borderId="74" xfId="0" applyFont="1" applyBorder="1" applyAlignment="1">
      <alignment horizontal="left" vertical="center" wrapText="1"/>
    </xf>
    <xf numFmtId="2" fontId="85" fillId="13" borderId="74" xfId="0" applyNumberFormat="1" applyFont="1" applyFill="1" applyBorder="1" applyAlignment="1">
      <alignment horizontal="right" vertical="center" wrapText="1"/>
    </xf>
    <xf numFmtId="167" fontId="85" fillId="13" borderId="74" xfId="0" applyNumberFormat="1" applyFont="1" applyFill="1" applyBorder="1" applyAlignment="1">
      <alignment horizontal="right" vertical="center" wrapText="1"/>
    </xf>
    <xf numFmtId="0" fontId="85" fillId="0" borderId="74" xfId="0" applyFont="1" applyBorder="1" applyAlignment="1">
      <alignment horizontal="right" vertical="center" wrapText="1"/>
    </xf>
    <xf numFmtId="167" fontId="85" fillId="0" borderId="74" xfId="0" applyNumberFormat="1" applyFont="1" applyBorder="1" applyAlignment="1">
      <alignment horizontal="right" vertical="center" wrapText="1"/>
    </xf>
    <xf numFmtId="167" fontId="85" fillId="0" borderId="74" xfId="0" applyNumberFormat="1" applyFont="1" applyBorder="1" applyAlignment="1">
      <alignment horizontal="center" vertical="center" wrapText="1"/>
    </xf>
    <xf numFmtId="10" fontId="85" fillId="0" borderId="74" xfId="0" applyNumberFormat="1" applyFont="1" applyBorder="1" applyAlignment="1">
      <alignment horizontal="right" vertical="center" wrapText="1"/>
    </xf>
    <xf numFmtId="0" fontId="83" fillId="0" borderId="74" xfId="0" applyFont="1" applyBorder="1" applyAlignment="1">
      <alignment horizontal="left" vertical="top" wrapText="1"/>
    </xf>
    <xf numFmtId="167" fontId="53" fillId="0" borderId="0" xfId="0" applyNumberFormat="1" applyFont="1"/>
    <xf numFmtId="43" fontId="53" fillId="0" borderId="0" xfId="0" applyNumberFormat="1" applyFont="1"/>
    <xf numFmtId="0" fontId="83" fillId="0" borderId="7" xfId="0" applyFont="1" applyBorder="1" applyAlignment="1">
      <alignment horizontal="left" vertical="center" wrapText="1"/>
    </xf>
    <xf numFmtId="41" fontId="83" fillId="0" borderId="7" xfId="0" applyNumberFormat="1" applyFont="1" applyBorder="1" applyAlignment="1">
      <alignment horizontal="center" vertical="center" wrapText="1"/>
    </xf>
    <xf numFmtId="167" fontId="83" fillId="0" borderId="78" xfId="0" applyNumberFormat="1" applyFont="1" applyBorder="1" applyAlignment="1">
      <alignment horizontal="center" vertical="center" wrapText="1"/>
    </xf>
    <xf numFmtId="0" fontId="55" fillId="0" borderId="73" xfId="0" applyFont="1" applyBorder="1"/>
    <xf numFmtId="10" fontId="55" fillId="0" borderId="74" xfId="0" applyNumberFormat="1" applyFont="1" applyBorder="1" applyAlignment="1">
      <alignment horizontal="right" wrapText="1"/>
    </xf>
    <xf numFmtId="2" fontId="55" fillId="0" borderId="74" xfId="0" applyNumberFormat="1" applyFont="1" applyBorder="1" applyAlignment="1">
      <alignment horizontal="right"/>
    </xf>
    <xf numFmtId="2" fontId="55" fillId="0" borderId="75" xfId="0" applyNumberFormat="1" applyFont="1" applyBorder="1" applyAlignment="1">
      <alignment horizontal="right"/>
    </xf>
    <xf numFmtId="0" fontId="86" fillId="0" borderId="74" xfId="0" applyFont="1" applyBorder="1" applyAlignment="1">
      <alignment wrapText="1"/>
    </xf>
    <xf numFmtId="0" fontId="55" fillId="0" borderId="83" xfId="0" applyFont="1" applyBorder="1"/>
    <xf numFmtId="0" fontId="55" fillId="0" borderId="84" xfId="0" applyFont="1" applyBorder="1"/>
    <xf numFmtId="0" fontId="55" fillId="0" borderId="84" xfId="0" applyFont="1" applyBorder="1" applyAlignment="1">
      <alignment horizontal="right" vertical="center" wrapText="1"/>
    </xf>
    <xf numFmtId="0" fontId="55" fillId="0" borderId="84" xfId="0" applyFont="1" applyBorder="1" applyAlignment="1">
      <alignment horizontal="right"/>
    </xf>
    <xf numFmtId="0" fontId="55" fillId="0" borderId="85" xfId="0" applyFont="1" applyBorder="1" applyAlignment="1">
      <alignment horizontal="right"/>
    </xf>
    <xf numFmtId="0" fontId="53" fillId="0" borderId="84" xfId="0" applyFont="1" applyBorder="1" applyAlignment="1">
      <alignment wrapText="1"/>
    </xf>
    <xf numFmtId="0" fontId="53" fillId="0" borderId="88" xfId="0" applyFont="1" applyBorder="1" applyAlignment="1">
      <alignment vertical="top" wrapText="1"/>
    </xf>
    <xf numFmtId="0" fontId="85" fillId="0" borderId="0" xfId="0" applyFont="1" applyAlignment="1">
      <alignment horizontal="left" vertical="center" wrapText="1"/>
    </xf>
    <xf numFmtId="0" fontId="87" fillId="15" borderId="74" xfId="0" applyFont="1" applyFill="1" applyBorder="1" applyAlignment="1">
      <alignment horizontal="center" vertical="center" wrapText="1"/>
    </xf>
    <xf numFmtId="0" fontId="87" fillId="0" borderId="74" xfId="0" applyFont="1" applyBorder="1" applyAlignment="1">
      <alignment horizontal="center" vertical="center" wrapText="1"/>
    </xf>
    <xf numFmtId="0" fontId="36" fillId="0" borderId="74" xfId="0" applyFont="1" applyBorder="1" applyAlignment="1">
      <alignment horizontal="center" vertical="center" wrapText="1"/>
    </xf>
    <xf numFmtId="0" fontId="53" fillId="0" borderId="0" xfId="0" applyFont="1" applyAlignment="1">
      <alignment horizontal="right"/>
    </xf>
    <xf numFmtId="0" fontId="88" fillId="0" borderId="0" xfId="0" applyFont="1"/>
    <xf numFmtId="0" fontId="89" fillId="0" borderId="0" xfId="0" applyFont="1"/>
    <xf numFmtId="0" fontId="9" fillId="0" borderId="0" xfId="0" applyFont="1" applyAlignment="1">
      <alignment horizontal="center"/>
    </xf>
    <xf numFmtId="0" fontId="91" fillId="0" borderId="0" xfId="0" applyFont="1"/>
    <xf numFmtId="0" fontId="92" fillId="16" borderId="64" xfId="0" applyFont="1" applyFill="1" applyBorder="1" applyAlignment="1">
      <alignment horizontal="center" vertical="center" wrapText="1" readingOrder="1"/>
    </xf>
    <xf numFmtId="41" fontId="92" fillId="16" borderId="64" xfId="0" applyNumberFormat="1" applyFont="1" applyFill="1" applyBorder="1" applyAlignment="1">
      <alignment horizontal="center" vertical="center" wrapText="1" readingOrder="1"/>
    </xf>
    <xf numFmtId="0" fontId="93" fillId="11" borderId="45" xfId="0" applyFont="1" applyFill="1" applyBorder="1" applyAlignment="1">
      <alignment horizontal="center" vertical="center" wrapText="1" readingOrder="1"/>
    </xf>
    <xf numFmtId="0" fontId="93" fillId="11" borderId="46" xfId="0" applyFont="1" applyFill="1" applyBorder="1" applyAlignment="1">
      <alignment horizontal="center" vertical="center" wrapText="1" readingOrder="1"/>
    </xf>
    <xf numFmtId="0" fontId="93" fillId="11" borderId="54" xfId="0" applyFont="1" applyFill="1" applyBorder="1" applyAlignment="1">
      <alignment horizontal="center" vertical="center" wrapText="1" readingOrder="1"/>
    </xf>
    <xf numFmtId="0" fontId="93" fillId="11" borderId="47" xfId="0" applyFont="1" applyFill="1" applyBorder="1" applyAlignment="1">
      <alignment horizontal="center" vertical="center" wrapText="1" readingOrder="1"/>
    </xf>
    <xf numFmtId="0" fontId="92" fillId="17" borderId="99" xfId="0" applyFont="1" applyFill="1" applyBorder="1" applyAlignment="1">
      <alignment horizontal="center" vertical="center" wrapText="1" readingOrder="1"/>
    </xf>
    <xf numFmtId="0" fontId="94" fillId="0" borderId="0" xfId="0" applyFont="1" applyAlignment="1">
      <alignment horizontal="center" vertical="center" wrapText="1" readingOrder="1"/>
    </xf>
    <xf numFmtId="0" fontId="11" fillId="0" borderId="0" xfId="0" applyFont="1"/>
    <xf numFmtId="0" fontId="92" fillId="18" borderId="50" xfId="0" applyFont="1" applyFill="1" applyBorder="1" applyAlignment="1">
      <alignment horizontal="center" vertical="center" wrapText="1" readingOrder="1"/>
    </xf>
    <xf numFmtId="0" fontId="92" fillId="18" borderId="1" xfId="0" applyFont="1" applyFill="1" applyBorder="1" applyAlignment="1">
      <alignment horizontal="left" vertical="center" wrapText="1" readingOrder="1"/>
    </xf>
    <xf numFmtId="0" fontId="89" fillId="18" borderId="1" xfId="0" applyFont="1" applyFill="1" applyBorder="1" applyAlignment="1">
      <alignment horizontal="center" vertical="center" wrapText="1" readingOrder="1"/>
    </xf>
    <xf numFmtId="0" fontId="34" fillId="18" borderId="1" xfId="0" applyFont="1" applyFill="1" applyBorder="1" applyAlignment="1">
      <alignment horizontal="center" vertical="center" wrapText="1" readingOrder="1"/>
    </xf>
    <xf numFmtId="41" fontId="34" fillId="18" borderId="1" xfId="0" applyNumberFormat="1" applyFont="1" applyFill="1" applyBorder="1" applyAlignment="1">
      <alignment horizontal="center" vertical="center" wrapText="1" readingOrder="1"/>
    </xf>
    <xf numFmtId="41" fontId="34" fillId="18" borderId="6" xfId="0" applyNumberFormat="1" applyFont="1" applyFill="1" applyBorder="1" applyAlignment="1">
      <alignment horizontal="center" vertical="center" wrapText="1" readingOrder="1"/>
    </xf>
    <xf numFmtId="0" fontId="89" fillId="18" borderId="51" xfId="0" applyFont="1" applyFill="1" applyBorder="1" applyAlignment="1">
      <alignment horizontal="center" vertical="center" wrapText="1" readingOrder="1"/>
    </xf>
    <xf numFmtId="0" fontId="91" fillId="0" borderId="0" xfId="0" applyFont="1" applyAlignment="1">
      <alignment horizontal="center" vertical="center" wrapText="1" readingOrder="1"/>
    </xf>
    <xf numFmtId="0" fontId="92" fillId="0" borderId="50" xfId="0" applyFont="1" applyBorder="1" applyAlignment="1">
      <alignment horizontal="center" vertical="center" wrapText="1" readingOrder="1"/>
    </xf>
    <xf numFmtId="0" fontId="92" fillId="0" borderId="1" xfId="0" applyFont="1" applyBorder="1" applyAlignment="1">
      <alignment horizontal="left" vertical="center" wrapText="1" readingOrder="1"/>
    </xf>
    <xf numFmtId="0" fontId="89" fillId="0" borderId="1" xfId="0" applyFont="1" applyBorder="1" applyAlignment="1">
      <alignment horizontal="center" vertical="center" wrapText="1" readingOrder="1"/>
    </xf>
    <xf numFmtId="2" fontId="89" fillId="0" borderId="1" xfId="0" applyNumberFormat="1" applyFont="1" applyBorder="1" applyAlignment="1">
      <alignment horizontal="center" vertical="center" wrapText="1" readingOrder="1"/>
    </xf>
    <xf numFmtId="0" fontId="89" fillId="0" borderId="51" xfId="0" applyFont="1" applyBorder="1" applyAlignment="1">
      <alignment horizontal="center" vertical="center" wrapText="1" readingOrder="1"/>
    </xf>
    <xf numFmtId="9" fontId="36" fillId="0" borderId="1" xfId="0" applyNumberFormat="1" applyFont="1" applyBorder="1" applyAlignment="1">
      <alignment horizontal="center" vertical="center" wrapText="1" readingOrder="1"/>
    </xf>
    <xf numFmtId="0" fontId="36" fillId="0" borderId="51" xfId="0" applyFont="1" applyBorder="1" applyAlignment="1">
      <alignment horizontal="left" vertical="center" wrapText="1" readingOrder="1"/>
    </xf>
    <xf numFmtId="0" fontId="89" fillId="0" borderId="50" xfId="0" applyFont="1" applyBorder="1" applyAlignment="1">
      <alignment horizontal="center" vertical="center" wrapText="1" readingOrder="1"/>
    </xf>
    <xf numFmtId="0" fontId="89" fillId="0" borderId="1" xfId="0" applyFont="1" applyBorder="1" applyAlignment="1">
      <alignment horizontal="left" vertical="center" wrapText="1" readingOrder="1"/>
    </xf>
    <xf numFmtId="0" fontId="89" fillId="0" borderId="51" xfId="0" applyFont="1" applyBorder="1" applyAlignment="1">
      <alignment horizontal="left" vertical="center" wrapText="1" readingOrder="1"/>
    </xf>
    <xf numFmtId="0" fontId="89" fillId="0" borderId="63" xfId="0" applyFont="1" applyBorder="1" applyAlignment="1">
      <alignment horizontal="center" vertical="center" wrapText="1" readingOrder="1"/>
    </xf>
    <xf numFmtId="0" fontId="89" fillId="0" borderId="64" xfId="0" applyFont="1" applyBorder="1" applyAlignment="1">
      <alignment horizontal="left" vertical="center" wrapText="1" readingOrder="1"/>
    </xf>
    <xf numFmtId="0" fontId="89" fillId="0" borderId="64" xfId="0" applyFont="1" applyBorder="1" applyAlignment="1">
      <alignment horizontal="center" vertical="center" wrapText="1" readingOrder="1"/>
    </xf>
    <xf numFmtId="9" fontId="36" fillId="0" borderId="64" xfId="0" applyNumberFormat="1" applyFont="1" applyBorder="1" applyAlignment="1">
      <alignment horizontal="center" vertical="center" wrapText="1" readingOrder="1"/>
    </xf>
    <xf numFmtId="0" fontId="89" fillId="0" borderId="65" xfId="0" applyFont="1" applyBorder="1" applyAlignment="1">
      <alignment horizontal="center" vertical="center" wrapText="1" readingOrder="1"/>
    </xf>
    <xf numFmtId="0" fontId="89" fillId="0" borderId="65" xfId="0" applyFont="1" applyBorder="1" applyAlignment="1">
      <alignment horizontal="left" vertical="center" wrapText="1" readingOrder="1"/>
    </xf>
    <xf numFmtId="0" fontId="89" fillId="0" borderId="0" xfId="0" applyFont="1" applyAlignment="1">
      <alignment horizontal="right"/>
    </xf>
    <xf numFmtId="0" fontId="95" fillId="0" borderId="0" xfId="0" applyFont="1"/>
    <xf numFmtId="0" fontId="47" fillId="0" borderId="0" xfId="22" applyFont="1"/>
    <xf numFmtId="0" fontId="97" fillId="0" borderId="0" xfId="22" applyFont="1" applyAlignment="1">
      <alignment horizontal="left"/>
    </xf>
    <xf numFmtId="0" fontId="98" fillId="0" borderId="0" xfId="22" applyFont="1" applyAlignment="1">
      <alignment horizontal="left"/>
    </xf>
    <xf numFmtId="0" fontId="99" fillId="0" borderId="0" xfId="22" applyFont="1" applyAlignment="1">
      <alignment horizontal="center"/>
    </xf>
    <xf numFmtId="0" fontId="99" fillId="0" borderId="0" xfId="22" applyFont="1"/>
    <xf numFmtId="0" fontId="100" fillId="0" borderId="0" xfId="22" applyFont="1"/>
    <xf numFmtId="168" fontId="99" fillId="0" borderId="0" xfId="23" applyNumberFormat="1" applyFont="1" applyFill="1"/>
    <xf numFmtId="0" fontId="85" fillId="0" borderId="48" xfId="22" applyFont="1" applyBorder="1" applyAlignment="1">
      <alignment horizontal="center" vertical="center" wrapText="1"/>
    </xf>
    <xf numFmtId="0" fontId="85" fillId="6" borderId="1" xfId="22" applyFont="1" applyFill="1" applyBorder="1" applyAlignment="1">
      <alignment horizontal="center" vertical="center" wrapText="1"/>
    </xf>
    <xf numFmtId="0" fontId="85" fillId="8" borderId="1" xfId="22" applyFont="1" applyFill="1" applyBorder="1" applyAlignment="1">
      <alignment horizontal="center" vertical="center" wrapText="1"/>
    </xf>
    <xf numFmtId="0" fontId="85" fillId="19" borderId="1" xfId="22" applyFont="1" applyFill="1" applyBorder="1" applyAlignment="1">
      <alignment horizontal="center" vertical="center" wrapText="1"/>
    </xf>
    <xf numFmtId="0" fontId="85" fillId="10" borderId="1" xfId="22" applyFont="1" applyFill="1" applyBorder="1" applyAlignment="1">
      <alignment horizontal="center" vertical="center" wrapText="1"/>
    </xf>
    <xf numFmtId="0" fontId="85" fillId="5" borderId="1" xfId="22" applyFont="1" applyFill="1" applyBorder="1" applyAlignment="1">
      <alignment horizontal="center" vertical="center" wrapText="1"/>
    </xf>
    <xf numFmtId="0" fontId="101" fillId="0" borderId="66" xfId="22" applyFont="1" applyBorder="1" applyAlignment="1">
      <alignment horizontal="center" vertical="center" wrapText="1"/>
    </xf>
    <xf numFmtId="0" fontId="101" fillId="0" borderId="67" xfId="22" applyFont="1" applyBorder="1" applyAlignment="1">
      <alignment horizontal="center" vertical="center" wrapText="1"/>
    </xf>
    <xf numFmtId="0" fontId="101" fillId="6" borderId="64" xfId="22" applyFont="1" applyFill="1" applyBorder="1" applyAlignment="1">
      <alignment horizontal="center" vertical="center" wrapText="1"/>
    </xf>
    <xf numFmtId="0" fontId="101" fillId="8" borderId="64" xfId="22" applyFont="1" applyFill="1" applyBorder="1" applyAlignment="1">
      <alignment horizontal="center" vertical="center" wrapText="1"/>
    </xf>
    <xf numFmtId="0" fontId="101" fillId="19" borderId="64" xfId="22" applyFont="1" applyFill="1" applyBorder="1" applyAlignment="1">
      <alignment horizontal="center" vertical="center" wrapText="1"/>
    </xf>
    <xf numFmtId="0" fontId="101" fillId="10" borderId="64" xfId="22" applyFont="1" applyFill="1" applyBorder="1" applyAlignment="1">
      <alignment horizontal="center" vertical="center" wrapText="1"/>
    </xf>
    <xf numFmtId="0" fontId="101" fillId="5" borderId="64" xfId="22" applyFont="1" applyFill="1" applyBorder="1" applyAlignment="1">
      <alignment horizontal="center" vertical="center" wrapText="1"/>
    </xf>
    <xf numFmtId="0" fontId="85" fillId="0" borderId="9" xfId="22" applyFont="1" applyBorder="1" applyAlignment="1">
      <alignment horizontal="left" vertical="center" wrapText="1"/>
    </xf>
    <xf numFmtId="41" fontId="85" fillId="0" borderId="9" xfId="23" applyFont="1" applyFill="1" applyBorder="1" applyAlignment="1">
      <alignment horizontal="center" vertical="center" wrapText="1"/>
    </xf>
    <xf numFmtId="41" fontId="85" fillId="2" borderId="9" xfId="23" applyFont="1" applyFill="1" applyBorder="1" applyAlignment="1">
      <alignment horizontal="center" vertical="center" wrapText="1"/>
    </xf>
    <xf numFmtId="0" fontId="85" fillId="0" borderId="1" xfId="22" applyFont="1" applyBorder="1" applyAlignment="1">
      <alignment horizontal="center" vertical="center" wrapText="1"/>
    </xf>
    <xf numFmtId="0" fontId="85" fillId="0" borderId="1" xfId="22" applyFont="1" applyBorder="1" applyAlignment="1">
      <alignment horizontal="left" vertical="center" wrapText="1"/>
    </xf>
    <xf numFmtId="0" fontId="85" fillId="0" borderId="1" xfId="23" applyNumberFormat="1" applyFont="1" applyFill="1" applyBorder="1" applyAlignment="1">
      <alignment horizontal="left" vertical="center" wrapText="1"/>
    </xf>
    <xf numFmtId="9" fontId="85" fillId="0" borderId="1" xfId="23" applyNumberFormat="1" applyFont="1" applyFill="1" applyBorder="1" applyAlignment="1">
      <alignment horizontal="center" vertical="center" wrapText="1"/>
    </xf>
    <xf numFmtId="41" fontId="85" fillId="0" borderId="1" xfId="23" applyFont="1" applyFill="1" applyBorder="1" applyAlignment="1">
      <alignment horizontal="center" vertical="center" wrapText="1"/>
    </xf>
    <xf numFmtId="41" fontId="85" fillId="2" borderId="1" xfId="23" applyFont="1" applyFill="1" applyBorder="1" applyAlignment="1">
      <alignment horizontal="center" vertical="center" wrapText="1"/>
    </xf>
    <xf numFmtId="9" fontId="85" fillId="0" borderId="1" xfId="22" applyNumberFormat="1" applyFont="1" applyBorder="1" applyAlignment="1">
      <alignment horizontal="center" vertical="center"/>
    </xf>
    <xf numFmtId="0" fontId="83" fillId="0" borderId="1" xfId="22" applyFont="1" applyBorder="1" applyAlignment="1">
      <alignment horizontal="center" vertical="center" wrapText="1"/>
    </xf>
    <xf numFmtId="0" fontId="83" fillId="0" borderId="1" xfId="22" applyFont="1" applyBorder="1" applyAlignment="1">
      <alignment horizontal="left" vertical="center" wrapText="1"/>
    </xf>
    <xf numFmtId="167" fontId="83" fillId="0" borderId="1" xfId="22" applyNumberFormat="1" applyFont="1" applyBorder="1" applyAlignment="1">
      <alignment horizontal="right" vertical="center" wrapText="1"/>
    </xf>
    <xf numFmtId="9" fontId="85" fillId="0" borderId="1" xfId="22" applyNumberFormat="1" applyFont="1" applyBorder="1" applyAlignment="1">
      <alignment horizontal="center" vertical="center" wrapText="1"/>
    </xf>
    <xf numFmtId="164" fontId="85" fillId="0" borderId="1" xfId="23" applyNumberFormat="1" applyFont="1" applyFill="1" applyBorder="1" applyAlignment="1">
      <alignment horizontal="right" vertical="center" wrapText="1"/>
    </xf>
    <xf numFmtId="41" fontId="83" fillId="0" borderId="1" xfId="22" applyNumberFormat="1" applyFont="1" applyBorder="1" applyAlignment="1">
      <alignment horizontal="center" vertical="center" wrapText="1"/>
    </xf>
    <xf numFmtId="164" fontId="83" fillId="0" borderId="1" xfId="23" applyNumberFormat="1" applyFont="1" applyFill="1" applyBorder="1" applyAlignment="1">
      <alignment horizontal="right" vertical="center" wrapText="1"/>
    </xf>
    <xf numFmtId="0" fontId="83" fillId="0" borderId="1" xfId="22" quotePrefix="1" applyFont="1" applyBorder="1" applyAlignment="1">
      <alignment horizontal="center" vertical="center" wrapText="1"/>
    </xf>
    <xf numFmtId="0" fontId="83" fillId="0" borderId="1" xfId="22" applyFont="1" applyBorder="1" applyAlignment="1">
      <alignment horizontal="center" vertical="center"/>
    </xf>
    <xf numFmtId="41" fontId="83" fillId="0" borderId="1" xfId="22" applyNumberFormat="1" applyFont="1" applyBorder="1" applyAlignment="1">
      <alignment horizontal="center" vertical="center"/>
    </xf>
    <xf numFmtId="3" fontId="83" fillId="0" borderId="74" xfId="22" applyNumberFormat="1" applyFont="1" applyBorder="1" applyAlignment="1">
      <alignment horizontal="right" vertical="center" shrinkToFit="1"/>
    </xf>
    <xf numFmtId="37" fontId="83" fillId="0" borderId="1" xfId="22" applyNumberFormat="1" applyFont="1" applyBorder="1" applyAlignment="1">
      <alignment horizontal="right" vertical="center" wrapText="1"/>
    </xf>
    <xf numFmtId="167" fontId="85" fillId="0" borderId="1" xfId="22" applyNumberFormat="1" applyFont="1" applyBorder="1" applyAlignment="1">
      <alignment horizontal="right" vertical="center" wrapText="1"/>
    </xf>
    <xf numFmtId="167" fontId="85" fillId="14" borderId="1" xfId="22" applyNumberFormat="1" applyFont="1" applyFill="1" applyBorder="1" applyAlignment="1">
      <alignment horizontal="right" vertical="center" wrapText="1"/>
    </xf>
    <xf numFmtId="0" fontId="85" fillId="0" borderId="1" xfId="22" quotePrefix="1" applyFont="1" applyBorder="1" applyAlignment="1">
      <alignment horizontal="center" vertical="center" wrapText="1"/>
    </xf>
    <xf numFmtId="10" fontId="83" fillId="2" borderId="1" xfId="22" applyNumberFormat="1" applyFont="1" applyFill="1" applyBorder="1" applyAlignment="1">
      <alignment horizontal="center" vertical="center"/>
    </xf>
    <xf numFmtId="10" fontId="83" fillId="0" borderId="1" xfId="22" applyNumberFormat="1" applyFont="1" applyBorder="1" applyAlignment="1">
      <alignment horizontal="center" vertical="center"/>
    </xf>
    <xf numFmtId="9" fontId="83" fillId="2" borderId="1" xfId="22" applyNumberFormat="1" applyFont="1" applyFill="1" applyBorder="1" applyAlignment="1">
      <alignment horizontal="center" vertical="center"/>
    </xf>
    <xf numFmtId="10" fontId="83" fillId="0" borderId="1" xfId="22" applyNumberFormat="1" applyFont="1" applyBorder="1" applyAlignment="1">
      <alignment horizontal="center" vertical="center" wrapText="1"/>
    </xf>
    <xf numFmtId="10" fontId="83" fillId="2" borderId="1" xfId="22" applyNumberFormat="1" applyFont="1" applyFill="1" applyBorder="1" applyAlignment="1">
      <alignment horizontal="center" vertical="center" wrapText="1"/>
    </xf>
    <xf numFmtId="41" fontId="83" fillId="2" borderId="1" xfId="22" applyNumberFormat="1" applyFont="1" applyFill="1" applyBorder="1" applyAlignment="1">
      <alignment horizontal="center" vertical="center" wrapText="1"/>
    </xf>
    <xf numFmtId="0" fontId="83" fillId="2" borderId="1" xfId="22" applyFont="1" applyFill="1" applyBorder="1" applyAlignment="1">
      <alignment horizontal="left" vertical="center" wrapText="1"/>
    </xf>
    <xf numFmtId="9" fontId="83" fillId="0" borderId="1" xfId="22" applyNumberFormat="1" applyFont="1" applyBorder="1" applyAlignment="1">
      <alignment horizontal="center" vertical="center" wrapText="1"/>
    </xf>
    <xf numFmtId="0" fontId="83" fillId="6" borderId="1" xfId="22" applyFont="1" applyFill="1" applyBorder="1" applyAlignment="1">
      <alignment horizontal="center" vertical="center" wrapText="1"/>
    </xf>
    <xf numFmtId="167" fontId="83" fillId="6" borderId="1" xfId="22" applyNumberFormat="1" applyFont="1" applyFill="1" applyBorder="1" applyAlignment="1">
      <alignment horizontal="right" vertical="center" wrapText="1"/>
    </xf>
    <xf numFmtId="0" fontId="83" fillId="8" borderId="1" xfId="22" applyFont="1" applyFill="1" applyBorder="1" applyAlignment="1">
      <alignment horizontal="center" vertical="center" wrapText="1"/>
    </xf>
    <xf numFmtId="167" fontId="83" fillId="8" borderId="1" xfId="22" applyNumberFormat="1" applyFont="1" applyFill="1" applyBorder="1" applyAlignment="1">
      <alignment horizontal="right" vertical="center" wrapText="1"/>
    </xf>
    <xf numFmtId="0" fontId="83" fillId="19" borderId="1" xfId="22" applyFont="1" applyFill="1" applyBorder="1" applyAlignment="1">
      <alignment horizontal="center" vertical="center" wrapText="1"/>
    </xf>
    <xf numFmtId="167" fontId="83" fillId="19" borderId="1" xfId="22" applyNumberFormat="1" applyFont="1" applyFill="1" applyBorder="1" applyAlignment="1">
      <alignment horizontal="right" vertical="center" wrapText="1"/>
    </xf>
    <xf numFmtId="0" fontId="83" fillId="10" borderId="1" xfId="22" applyFont="1" applyFill="1" applyBorder="1" applyAlignment="1">
      <alignment horizontal="center" vertical="center" wrapText="1"/>
    </xf>
    <xf numFmtId="167" fontId="83" fillId="10" borderId="1" xfId="22" applyNumberFormat="1" applyFont="1" applyFill="1" applyBorder="1" applyAlignment="1">
      <alignment horizontal="right" vertical="center" wrapText="1"/>
    </xf>
    <xf numFmtId="0" fontId="83" fillId="5" borderId="1" xfId="22" applyFont="1" applyFill="1" applyBorder="1" applyAlignment="1">
      <alignment horizontal="center" vertical="center" wrapText="1"/>
    </xf>
    <xf numFmtId="167" fontId="83" fillId="5" borderId="1" xfId="22" applyNumberFormat="1" applyFont="1" applyFill="1" applyBorder="1" applyAlignment="1">
      <alignment horizontal="right" vertical="center" wrapText="1"/>
    </xf>
    <xf numFmtId="0" fontId="83" fillId="0" borderId="0" xfId="22" applyFont="1" applyAlignment="1">
      <alignment horizontal="center" vertical="center" wrapText="1"/>
    </xf>
    <xf numFmtId="164" fontId="100" fillId="0" borderId="0" xfId="22" applyNumberFormat="1" applyFont="1"/>
    <xf numFmtId="164" fontId="99" fillId="0" borderId="0" xfId="22" applyNumberFormat="1" applyFont="1"/>
    <xf numFmtId="164" fontId="100" fillId="0" borderId="0" xfId="23" applyNumberFormat="1" applyFont="1" applyFill="1"/>
    <xf numFmtId="0" fontId="99" fillId="0" borderId="0" xfId="22" quotePrefix="1" applyFont="1"/>
    <xf numFmtId="164" fontId="99" fillId="0" borderId="0" xfId="23" applyNumberFormat="1" applyFont="1" applyFill="1"/>
    <xf numFmtId="0" fontId="102" fillId="0" borderId="0" xfId="22" applyFont="1"/>
    <xf numFmtId="0" fontId="103" fillId="2" borderId="1" xfId="0" applyFont="1" applyFill="1" applyBorder="1" applyAlignment="1">
      <alignment horizontal="center" vertical="center" wrapText="1"/>
    </xf>
    <xf numFmtId="0" fontId="103" fillId="2" borderId="1" xfId="0" applyFont="1" applyFill="1" applyBorder="1" applyAlignment="1">
      <alignment vertical="center" wrapText="1"/>
    </xf>
    <xf numFmtId="9" fontId="103" fillId="2" borderId="1" xfId="0" applyNumberFormat="1" applyFont="1" applyFill="1" applyBorder="1" applyAlignment="1">
      <alignment horizontal="center" vertical="center"/>
    </xf>
    <xf numFmtId="10" fontId="103" fillId="2" borderId="1" xfId="0" applyNumberFormat="1" applyFont="1" applyFill="1" applyBorder="1" applyAlignment="1">
      <alignment horizontal="center" vertical="center"/>
    </xf>
    <xf numFmtId="10" fontId="103" fillId="0" borderId="1" xfId="0" applyNumberFormat="1" applyFont="1" applyBorder="1" applyAlignment="1">
      <alignment horizontal="center" vertical="center" wrapText="1"/>
    </xf>
    <xf numFmtId="0" fontId="103" fillId="3" borderId="1" xfId="0" applyFont="1" applyFill="1" applyBorder="1" applyAlignment="1">
      <alignment vertical="center" wrapText="1"/>
    </xf>
    <xf numFmtId="0" fontId="20" fillId="0" borderId="1" xfId="0" applyFont="1" applyBorder="1" applyAlignment="1">
      <alignment horizontal="left" vertical="center" wrapText="1"/>
    </xf>
    <xf numFmtId="9" fontId="103" fillId="0" borderId="1" xfId="0" applyNumberFormat="1" applyFont="1" applyBorder="1" applyAlignment="1">
      <alignment horizontal="center" vertical="center" wrapText="1"/>
    </xf>
    <xf numFmtId="0" fontId="104" fillId="2" borderId="1" xfId="0" applyFont="1" applyFill="1" applyBorder="1" applyAlignment="1">
      <alignment vertical="center" wrapText="1"/>
    </xf>
    <xf numFmtId="0" fontId="104" fillId="2" borderId="1" xfId="0" applyFont="1" applyFill="1" applyBorder="1" applyAlignment="1">
      <alignment horizontal="left" vertical="center" wrapText="1"/>
    </xf>
    <xf numFmtId="0" fontId="104" fillId="3" borderId="1" xfId="0" applyFont="1" applyFill="1" applyBorder="1" applyAlignment="1">
      <alignment vertical="center" wrapText="1"/>
    </xf>
    <xf numFmtId="0" fontId="64" fillId="0" borderId="1" xfId="0" applyFont="1" applyBorder="1"/>
    <xf numFmtId="0" fontId="64" fillId="0" borderId="0" xfId="0" applyFont="1"/>
    <xf numFmtId="0" fontId="104" fillId="0" borderId="1" xfId="0" applyFont="1" applyBorder="1" applyAlignment="1">
      <alignment horizontal="left" vertical="center" wrapText="1"/>
    </xf>
    <xf numFmtId="0" fontId="64" fillId="2" borderId="0" xfId="0" applyFont="1" applyFill="1"/>
    <xf numFmtId="0" fontId="104" fillId="2" borderId="1" xfId="0" applyFont="1" applyFill="1" applyBorder="1" applyAlignment="1">
      <alignment horizontal="center" vertical="center" wrapText="1"/>
    </xf>
    <xf numFmtId="0" fontId="64" fillId="2" borderId="1" xfId="0" applyFont="1" applyFill="1" applyBorder="1"/>
    <xf numFmtId="0" fontId="12" fillId="2" borderId="0" xfId="0" applyFont="1" applyFill="1"/>
    <xf numFmtId="0" fontId="87" fillId="0" borderId="1" xfId="24" applyNumberFormat="1" applyFont="1" applyBorder="1" applyAlignment="1">
      <alignment vertical="center" wrapText="1"/>
    </xf>
    <xf numFmtId="0" fontId="87" fillId="0" borderId="51" xfId="22" applyFont="1" applyBorder="1" applyAlignment="1">
      <alignment vertical="center" wrapText="1"/>
    </xf>
    <xf numFmtId="0" fontId="87" fillId="2" borderId="1" xfId="24" applyNumberFormat="1" applyFont="1" applyFill="1" applyBorder="1" applyAlignment="1">
      <alignment vertical="center" wrapText="1"/>
    </xf>
    <xf numFmtId="0" fontId="87" fillId="0" borderId="51" xfId="0" applyFont="1" applyBorder="1" applyAlignment="1">
      <alignment vertical="center" wrapText="1"/>
    </xf>
    <xf numFmtId="0" fontId="36" fillId="0" borderId="0" xfId="22" applyFont="1" applyAlignment="1">
      <alignment vertical="center" wrapText="1"/>
    </xf>
    <xf numFmtId="0" fontId="87" fillId="0" borderId="0" xfId="22" applyFont="1" applyAlignment="1">
      <alignment vertical="center" wrapText="1"/>
    </xf>
    <xf numFmtId="43" fontId="87" fillId="2" borderId="0" xfId="22" applyNumberFormat="1" applyFont="1" applyFill="1" applyAlignment="1">
      <alignment vertical="center" wrapText="1"/>
    </xf>
    <xf numFmtId="43" fontId="36" fillId="2" borderId="0" xfId="22" applyNumberFormat="1" applyFont="1" applyFill="1" applyAlignment="1">
      <alignment vertical="center" wrapText="1"/>
    </xf>
    <xf numFmtId="0" fontId="36" fillId="2" borderId="0" xfId="22" applyFont="1" applyFill="1" applyAlignment="1">
      <alignment vertical="center" wrapText="1"/>
    </xf>
    <xf numFmtId="0" fontId="39" fillId="0" borderId="0" xfId="22" applyFont="1" applyAlignment="1">
      <alignment vertical="center" wrapText="1"/>
    </xf>
    <xf numFmtId="0" fontId="103" fillId="9" borderId="1" xfId="0" applyFont="1" applyFill="1" applyBorder="1" applyAlignment="1">
      <alignment horizontal="center" vertical="center" wrapText="1"/>
    </xf>
    <xf numFmtId="0" fontId="81" fillId="2" borderId="1" xfId="0" applyFont="1" applyFill="1" applyBorder="1" applyAlignment="1">
      <alignment horizontal="left" vertical="center" wrapText="1"/>
    </xf>
    <xf numFmtId="0" fontId="81" fillId="2" borderId="1" xfId="0" applyFont="1" applyFill="1" applyBorder="1" applyAlignment="1">
      <alignment vertical="center" wrapText="1"/>
    </xf>
    <xf numFmtId="0" fontId="81" fillId="2" borderId="1" xfId="0" applyFont="1" applyFill="1" applyBorder="1" applyAlignment="1">
      <alignment horizontal="center" vertical="center"/>
    </xf>
    <xf numFmtId="9" fontId="81" fillId="0" borderId="1" xfId="0" applyNumberFormat="1" applyFont="1" applyBorder="1" applyAlignment="1">
      <alignment horizontal="center" vertical="center" wrapText="1"/>
    </xf>
    <xf numFmtId="0" fontId="81" fillId="3" borderId="1" xfId="0" applyFont="1" applyFill="1" applyBorder="1" applyAlignment="1">
      <alignment vertical="center" wrapText="1"/>
    </xf>
    <xf numFmtId="0" fontId="81" fillId="0" borderId="1" xfId="0" applyFont="1" applyBorder="1" applyAlignment="1">
      <alignment horizontal="left" vertical="center" wrapText="1"/>
    </xf>
    <xf numFmtId="10" fontId="81" fillId="2" borderId="1" xfId="0" applyNumberFormat="1" applyFont="1" applyFill="1" applyBorder="1" applyAlignment="1">
      <alignment horizontal="center" vertical="center"/>
    </xf>
    <xf numFmtId="0" fontId="32" fillId="0" borderId="1" xfId="0" applyFont="1" applyBorder="1"/>
    <xf numFmtId="0" fontId="81" fillId="0" borderId="9" xfId="0" applyFont="1" applyBorder="1" applyAlignment="1">
      <alignment horizontal="left" vertical="center" wrapText="1"/>
    </xf>
    <xf numFmtId="9" fontId="81" fillId="2" borderId="1" xfId="0" applyNumberFormat="1" applyFont="1" applyFill="1" applyBorder="1" applyAlignment="1">
      <alignment horizontal="center" vertical="center" wrapText="1"/>
    </xf>
    <xf numFmtId="9" fontId="81" fillId="2" borderId="1" xfId="0" applyNumberFormat="1" applyFont="1" applyFill="1" applyBorder="1" applyAlignment="1">
      <alignment horizontal="center" vertical="center"/>
    </xf>
    <xf numFmtId="1" fontId="81" fillId="2" borderId="1" xfId="0" applyNumberFormat="1" applyFont="1" applyFill="1" applyBorder="1" applyAlignment="1">
      <alignment horizontal="center" vertical="center"/>
    </xf>
    <xf numFmtId="10" fontId="81" fillId="0" borderId="1" xfId="0" applyNumberFormat="1" applyFont="1" applyBorder="1" applyAlignment="1">
      <alignment horizontal="center" vertical="center" wrapText="1"/>
    </xf>
    <xf numFmtId="0" fontId="81" fillId="0" borderId="1" xfId="0" applyFont="1" applyBorder="1" applyAlignment="1">
      <alignment horizontal="left" wrapText="1"/>
    </xf>
    <xf numFmtId="0" fontId="81" fillId="2" borderId="1" xfId="0" applyFont="1" applyFill="1" applyBorder="1" applyAlignment="1">
      <alignment horizontal="center" vertical="center" wrapText="1"/>
    </xf>
    <xf numFmtId="0" fontId="0" fillId="2" borderId="0" xfId="0" applyFill="1"/>
    <xf numFmtId="0" fontId="54" fillId="0" borderId="74" xfId="0" applyFont="1" applyBorder="1"/>
    <xf numFmtId="49" fontId="83" fillId="18" borderId="46" xfId="17" applyNumberFormat="1" applyFont="1" applyFill="1" applyBorder="1" applyAlignment="1">
      <alignment horizontal="center" vertical="center" wrapText="1"/>
    </xf>
    <xf numFmtId="49" fontId="83" fillId="18" borderId="46" xfId="17" applyNumberFormat="1" applyFont="1" applyFill="1" applyBorder="1" applyAlignment="1">
      <alignment horizontal="center" vertical="center"/>
    </xf>
    <xf numFmtId="49" fontId="83" fillId="18" borderId="47" xfId="22" applyNumberFormat="1" applyFont="1" applyFill="1" applyBorder="1" applyAlignment="1">
      <alignment horizontal="center" vertical="center" wrapText="1"/>
    </xf>
    <xf numFmtId="49" fontId="83" fillId="0" borderId="48" xfId="17" applyNumberFormat="1" applyFont="1" applyFill="1" applyBorder="1" applyAlignment="1">
      <alignment horizontal="center" vertical="center" wrapText="1"/>
    </xf>
    <xf numFmtId="49" fontId="83" fillId="0" borderId="9" xfId="17" applyNumberFormat="1" applyFont="1" applyFill="1" applyBorder="1" applyAlignment="1">
      <alignment horizontal="center" vertical="center" wrapText="1"/>
    </xf>
    <xf numFmtId="49" fontId="83" fillId="0" borderId="49" xfId="17" applyNumberFormat="1" applyFont="1" applyFill="1" applyBorder="1" applyAlignment="1">
      <alignment horizontal="center" vertical="center" wrapText="1"/>
    </xf>
    <xf numFmtId="0" fontId="87" fillId="0" borderId="50" xfId="22" applyFont="1" applyBorder="1" applyAlignment="1">
      <alignment vertical="center"/>
    </xf>
    <xf numFmtId="0" fontId="87" fillId="0" borderId="1" xfId="22" applyFont="1" applyBorder="1" applyAlignment="1">
      <alignment vertical="center"/>
    </xf>
    <xf numFmtId="0" fontId="87" fillId="0" borderId="1" xfId="22" quotePrefix="1" applyFont="1" applyBorder="1" applyAlignment="1">
      <alignment horizontal="center" vertical="center"/>
    </xf>
    <xf numFmtId="0" fontId="82" fillId="3" borderId="6" xfId="17" applyFont="1" applyBorder="1" applyAlignment="1">
      <alignment vertical="center"/>
    </xf>
    <xf numFmtId="0" fontId="82" fillId="3" borderId="7" xfId="17" applyFont="1" applyBorder="1" applyAlignment="1">
      <alignment vertical="center"/>
    </xf>
    <xf numFmtId="0" fontId="82" fillId="3" borderId="102" xfId="17" applyFont="1" applyBorder="1" applyAlignment="1">
      <alignment vertical="center"/>
    </xf>
    <xf numFmtId="0" fontId="82" fillId="2" borderId="6" xfId="17" applyFont="1" applyFill="1" applyBorder="1" applyAlignment="1">
      <alignment horizontal="left" vertical="center" wrapText="1"/>
    </xf>
    <xf numFmtId="43" fontId="87" fillId="0" borderId="1" xfId="24" applyFont="1" applyBorder="1" applyAlignment="1">
      <alignment vertical="center" wrapText="1"/>
    </xf>
    <xf numFmtId="0" fontId="82" fillId="0" borderId="51" xfId="22" applyFont="1" applyBorder="1" applyAlignment="1">
      <alignment vertical="center" wrapText="1"/>
    </xf>
    <xf numFmtId="0" fontId="87" fillId="20" borderId="50" xfId="22" applyFont="1" applyFill="1" applyBorder="1" applyAlignment="1">
      <alignment vertical="center"/>
    </xf>
    <xf numFmtId="0" fontId="87" fillId="20" borderId="1" xfId="22" applyFont="1" applyFill="1" applyBorder="1" applyAlignment="1">
      <alignment vertical="center"/>
    </xf>
    <xf numFmtId="0" fontId="82" fillId="21" borderId="6" xfId="17" applyFont="1" applyFill="1" applyBorder="1" applyAlignment="1">
      <alignment horizontal="left" vertical="center" wrapText="1"/>
    </xf>
    <xf numFmtId="43" fontId="87" fillId="20" borderId="1" xfId="24" applyFont="1" applyFill="1" applyBorder="1" applyAlignment="1">
      <alignment vertical="center" wrapText="1"/>
    </xf>
    <xf numFmtId="43" fontId="82" fillId="21" borderId="51" xfId="18" applyNumberFormat="1" applyFont="1" applyFill="1" applyBorder="1" applyAlignment="1">
      <alignment vertical="center" wrapText="1"/>
    </xf>
    <xf numFmtId="0" fontId="82" fillId="0" borderId="50" xfId="22" applyFont="1" applyBorder="1" applyAlignment="1">
      <alignment vertical="center"/>
    </xf>
    <xf numFmtId="0" fontId="82" fillId="0" borderId="1" xfId="22" applyFont="1" applyBorder="1" applyAlignment="1">
      <alignment vertical="center"/>
    </xf>
    <xf numFmtId="0" fontId="82" fillId="0" borderId="1" xfId="18" applyFont="1" applyFill="1" applyBorder="1" applyAlignment="1">
      <alignment vertical="center" wrapText="1"/>
    </xf>
    <xf numFmtId="0" fontId="87" fillId="0" borderId="1" xfId="18" applyFont="1" applyFill="1" applyBorder="1" applyAlignment="1">
      <alignment vertical="center" wrapText="1"/>
    </xf>
    <xf numFmtId="0" fontId="82" fillId="0" borderId="1" xfId="19" applyFont="1" applyFill="1" applyBorder="1" applyAlignment="1">
      <alignment horizontal="left" vertical="center" wrapText="1"/>
    </xf>
    <xf numFmtId="0" fontId="87" fillId="0" borderId="1" xfId="19" applyFont="1" applyFill="1" applyBorder="1" applyAlignment="1">
      <alignment horizontal="left" vertical="center" wrapText="1"/>
    </xf>
    <xf numFmtId="0" fontId="87" fillId="0" borderId="8" xfId="22" applyFont="1" applyBorder="1" applyAlignment="1">
      <alignment horizontal="left" vertical="center" wrapText="1"/>
    </xf>
    <xf numFmtId="0" fontId="87" fillId="0" borderId="7" xfId="22" applyFont="1" applyBorder="1" applyAlignment="1">
      <alignment horizontal="left" vertical="center" wrapText="1"/>
    </xf>
    <xf numFmtId="0" fontId="87" fillId="0" borderId="51" xfId="22" applyFont="1" applyBorder="1" applyAlignment="1">
      <alignment horizontal="left" vertical="center" wrapText="1"/>
    </xf>
    <xf numFmtId="0" fontId="106" fillId="2" borderId="1" xfId="22" applyFont="1" applyFill="1" applyBorder="1" applyAlignment="1">
      <alignment horizontal="left" vertical="center"/>
    </xf>
    <xf numFmtId="0" fontId="106" fillId="2" borderId="1" xfId="22" quotePrefix="1" applyFont="1" applyFill="1" applyBorder="1" applyAlignment="1">
      <alignment horizontal="left" vertical="center"/>
    </xf>
    <xf numFmtId="0" fontId="82" fillId="21" borderId="1" xfId="19" applyFont="1" applyFill="1" applyBorder="1" applyAlignment="1">
      <alignment horizontal="left" vertical="center" wrapText="1"/>
    </xf>
    <xf numFmtId="0" fontId="87" fillId="20" borderId="51" xfId="22" applyFont="1" applyFill="1" applyBorder="1" applyAlignment="1">
      <alignment vertical="center" wrapText="1"/>
    </xf>
    <xf numFmtId="0" fontId="87" fillId="0" borderId="50" xfId="0" applyFont="1" applyBorder="1" applyAlignment="1">
      <alignment vertical="center"/>
    </xf>
    <xf numFmtId="0" fontId="87" fillId="0" borderId="1" xfId="0" quotePrefix="1" applyFont="1" applyBorder="1" applyAlignment="1">
      <alignment vertical="center"/>
    </xf>
    <xf numFmtId="0" fontId="87" fillId="0" borderId="1" xfId="0" applyFont="1" applyBorder="1" applyAlignment="1">
      <alignment vertical="center"/>
    </xf>
    <xf numFmtId="0" fontId="87" fillId="0" borderId="50" xfId="0" applyFont="1" applyBorder="1" applyAlignment="1">
      <alignment horizontal="center" vertical="center"/>
    </xf>
    <xf numFmtId="0" fontId="87" fillId="0" borderId="1" xfId="0" quotePrefix="1" applyFont="1" applyBorder="1" applyAlignment="1">
      <alignment horizontal="center" vertical="center"/>
    </xf>
    <xf numFmtId="0" fontId="87" fillId="0" borderId="1" xfId="0" applyFont="1" applyBorder="1" applyAlignment="1">
      <alignment horizontal="center" vertical="center"/>
    </xf>
    <xf numFmtId="0" fontId="82" fillId="0" borderId="51" xfId="0" applyFont="1" applyBorder="1" applyAlignment="1">
      <alignment vertical="center" wrapText="1"/>
    </xf>
    <xf numFmtId="0" fontId="106" fillId="2" borderId="50" xfId="0" applyFont="1" applyFill="1" applyBorder="1" applyAlignment="1">
      <alignment horizontal="left" vertical="center"/>
    </xf>
    <xf numFmtId="0" fontId="106" fillId="2" borderId="1" xfId="0" applyFont="1" applyFill="1" applyBorder="1" applyAlignment="1">
      <alignment horizontal="left" vertical="center"/>
    </xf>
    <xf numFmtId="0" fontId="106" fillId="2" borderId="1" xfId="0" quotePrefix="1" applyFont="1" applyFill="1" applyBorder="1" applyAlignment="1">
      <alignment horizontal="left" vertical="center"/>
    </xf>
    <xf numFmtId="0" fontId="87" fillId="0" borderId="63" xfId="0" applyFont="1" applyBorder="1" applyAlignment="1">
      <alignment vertical="center"/>
    </xf>
    <xf numFmtId="0" fontId="87" fillId="0" borderId="64" xfId="0" applyFont="1" applyBorder="1" applyAlignment="1">
      <alignment vertical="center"/>
    </xf>
    <xf numFmtId="0" fontId="87" fillId="0" borderId="64" xfId="19" applyFont="1" applyFill="1" applyBorder="1" applyAlignment="1">
      <alignment horizontal="left" vertical="center" wrapText="1"/>
    </xf>
    <xf numFmtId="0" fontId="87" fillId="0" borderId="64" xfId="24" applyNumberFormat="1" applyFont="1" applyBorder="1" applyAlignment="1">
      <alignment vertical="center" wrapText="1"/>
    </xf>
    <xf numFmtId="0" fontId="87" fillId="0" borderId="65" xfId="0" applyFont="1" applyBorder="1" applyAlignment="1">
      <alignment vertical="center" wrapText="1"/>
    </xf>
    <xf numFmtId="0" fontId="83" fillId="2" borderId="1" xfId="0" applyFont="1" applyFill="1" applyBorder="1" applyAlignment="1">
      <alignment horizontal="left" vertical="center"/>
    </xf>
    <xf numFmtId="0" fontId="83" fillId="2" borderId="1" xfId="0" quotePrefix="1" applyFont="1" applyFill="1" applyBorder="1" applyAlignment="1">
      <alignment horizontal="left" vertical="center"/>
    </xf>
    <xf numFmtId="0" fontId="87" fillId="0" borderId="2" xfId="19" applyFont="1" applyFill="1" applyBorder="1" applyAlignment="1">
      <alignment horizontal="left" vertical="center" wrapText="1"/>
    </xf>
    <xf numFmtId="0" fontId="87" fillId="0" borderId="2" xfId="24" applyNumberFormat="1" applyFont="1" applyBorder="1" applyAlignment="1">
      <alignment vertical="center" wrapText="1"/>
    </xf>
    <xf numFmtId="0" fontId="107" fillId="2" borderId="1" xfId="22" applyFont="1" applyFill="1" applyBorder="1" applyAlignment="1">
      <alignment horizontal="left" vertical="center"/>
    </xf>
    <xf numFmtId="0" fontId="107" fillId="2" borderId="1" xfId="22" quotePrefix="1" applyFont="1" applyFill="1" applyBorder="1" applyAlignment="1">
      <alignment horizontal="left" vertical="center"/>
    </xf>
    <xf numFmtId="0" fontId="83" fillId="2" borderId="1" xfId="22" quotePrefix="1" applyFont="1" applyFill="1" applyBorder="1" applyAlignment="1">
      <alignment horizontal="left" vertical="center"/>
    </xf>
    <xf numFmtId="0" fontId="82" fillId="0" borderId="2" xfId="19" applyFont="1" applyFill="1" applyBorder="1" applyAlignment="1">
      <alignment horizontal="left" vertical="center" wrapText="1"/>
    </xf>
    <xf numFmtId="0" fontId="87" fillId="0" borderId="52" xfId="22" applyFont="1" applyBorder="1" applyAlignment="1">
      <alignment vertical="center" wrapText="1"/>
    </xf>
    <xf numFmtId="0" fontId="83" fillId="0" borderId="1" xfId="0" applyFont="1" applyBorder="1" applyAlignment="1">
      <alignment horizontal="center" vertical="center"/>
    </xf>
    <xf numFmtId="0" fontId="108" fillId="0" borderId="1" xfId="19" applyFont="1" applyFill="1" applyBorder="1" applyAlignment="1">
      <alignment horizontal="left" vertical="center" wrapText="1"/>
    </xf>
    <xf numFmtId="0" fontId="87" fillId="0" borderId="0" xfId="22" applyFont="1"/>
    <xf numFmtId="0" fontId="82" fillId="0" borderId="0" xfId="22" applyFont="1" applyAlignment="1">
      <alignment horizontal="center" vertical="center" wrapText="1"/>
    </xf>
    <xf numFmtId="43" fontId="82" fillId="0" borderId="0" xfId="22" applyNumberFormat="1" applyFont="1" applyAlignment="1">
      <alignment horizontal="center" vertical="center" wrapText="1"/>
    </xf>
    <xf numFmtId="0" fontId="53" fillId="0" borderId="0" xfId="22" applyFont="1"/>
    <xf numFmtId="43" fontId="87" fillId="0" borderId="0" xfId="22" applyNumberFormat="1" applyFont="1"/>
    <xf numFmtId="0" fontId="53" fillId="0" borderId="0" xfId="22" applyFont="1" applyAlignment="1">
      <alignment horizontal="right"/>
    </xf>
    <xf numFmtId="0" fontId="88" fillId="0" borderId="0" xfId="22" applyFont="1"/>
    <xf numFmtId="0" fontId="47" fillId="0" borderId="0" xfId="22" applyFont="1" applyAlignment="1">
      <alignment vertical="center" wrapText="1"/>
    </xf>
    <xf numFmtId="0" fontId="47" fillId="2" borderId="0" xfId="22" applyFont="1" applyFill="1" applyAlignment="1">
      <alignment vertical="center" wrapText="1"/>
    </xf>
    <xf numFmtId="0" fontId="61" fillId="6" borderId="0" xfId="0" applyFont="1" applyFill="1"/>
    <xf numFmtId="0" fontId="11" fillId="2" borderId="0" xfId="0" applyFont="1" applyFill="1" applyAlignment="1">
      <alignment horizontal="center"/>
    </xf>
    <xf numFmtId="0" fontId="19" fillId="2" borderId="0" xfId="0" applyFont="1" applyFill="1" applyAlignment="1">
      <alignment horizontal="center"/>
    </xf>
    <xf numFmtId="0" fontId="11" fillId="5" borderId="12" xfId="0" applyFont="1" applyFill="1" applyBorder="1" applyAlignment="1">
      <alignment horizontal="center"/>
    </xf>
    <xf numFmtId="0" fontId="16" fillId="5" borderId="1" xfId="17" applyFont="1" applyFill="1" applyBorder="1" applyAlignment="1">
      <alignment horizontal="center" vertical="center" wrapText="1"/>
    </xf>
    <xf numFmtId="0" fontId="18" fillId="5" borderId="1" xfId="17" applyFont="1" applyFill="1" applyBorder="1" applyAlignment="1">
      <alignment horizontal="center" vertical="center" wrapText="1"/>
    </xf>
    <xf numFmtId="0" fontId="19" fillId="5" borderId="1" xfId="0" applyFont="1" applyFill="1" applyBorder="1" applyAlignment="1">
      <alignment vertical="center" textRotation="180"/>
    </xf>
    <xf numFmtId="0" fontId="20" fillId="5" borderId="1" xfId="0" applyFont="1" applyFill="1" applyBorder="1" applyAlignment="1">
      <alignment horizontal="center" vertical="center" textRotation="180" wrapText="1"/>
    </xf>
    <xf numFmtId="0" fontId="14" fillId="5" borderId="1" xfId="17" applyFill="1" applyBorder="1" applyAlignment="1">
      <alignment horizontal="center" vertical="center" wrapText="1"/>
    </xf>
    <xf numFmtId="0" fontId="21" fillId="5" borderId="1" xfId="17" applyFont="1" applyFill="1" applyBorder="1" applyAlignment="1">
      <alignment horizontal="center" vertical="center" wrapText="1"/>
    </xf>
    <xf numFmtId="0" fontId="11" fillId="0" borderId="12" xfId="0" applyFont="1" applyBorder="1" applyAlignment="1">
      <alignment horizontal="center"/>
    </xf>
    <xf numFmtId="0" fontId="22" fillId="2" borderId="1" xfId="0" applyFont="1" applyFill="1" applyBorder="1" applyAlignment="1">
      <alignment horizontal="left"/>
    </xf>
    <xf numFmtId="0" fontId="22" fillId="5" borderId="1" xfId="0" applyFont="1" applyFill="1" applyBorder="1" applyAlignment="1">
      <alignment horizontal="left"/>
    </xf>
    <xf numFmtId="0" fontId="22" fillId="5" borderId="1" xfId="0" quotePrefix="1" applyFont="1" applyFill="1" applyBorder="1" applyAlignment="1">
      <alignment horizontal="left"/>
    </xf>
    <xf numFmtId="0" fontId="16" fillId="5" borderId="6" xfId="17" applyFont="1" applyFill="1" applyBorder="1" applyAlignment="1">
      <alignment horizontal="left" vertical="center" wrapText="1"/>
    </xf>
    <xf numFmtId="43" fontId="16" fillId="5" borderId="1" xfId="17" applyNumberFormat="1" applyFont="1" applyFill="1" applyBorder="1" applyAlignment="1">
      <alignment horizontal="center" vertical="center" wrapText="1"/>
    </xf>
    <xf numFmtId="43" fontId="23" fillId="5" borderId="1" xfId="17" applyNumberFormat="1" applyFont="1" applyFill="1" applyBorder="1" applyAlignment="1">
      <alignment horizontal="center" vertical="center" wrapText="1"/>
    </xf>
    <xf numFmtId="43" fontId="17" fillId="5" borderId="1" xfId="17" applyNumberFormat="1" applyFont="1" applyFill="1" applyBorder="1" applyAlignment="1">
      <alignment horizontal="center" vertical="center" wrapText="1"/>
    </xf>
    <xf numFmtId="0" fontId="11" fillId="4" borderId="12" xfId="0" applyFont="1" applyFill="1" applyBorder="1" applyAlignment="1">
      <alignment horizontal="center"/>
    </xf>
    <xf numFmtId="0" fontId="22" fillId="4" borderId="1" xfId="0" applyFont="1" applyFill="1" applyBorder="1" applyAlignment="1">
      <alignment horizontal="left"/>
    </xf>
    <xf numFmtId="0" fontId="22" fillId="4" borderId="1" xfId="0" quotePrefix="1" applyFont="1" applyFill="1" applyBorder="1" applyAlignment="1">
      <alignment horizontal="left"/>
    </xf>
    <xf numFmtId="0" fontId="16" fillId="4" borderId="6" xfId="17" applyFont="1" applyFill="1" applyBorder="1" applyAlignment="1">
      <alignment horizontal="left" vertical="center" wrapText="1"/>
    </xf>
    <xf numFmtId="43" fontId="16" fillId="4" borderId="1" xfId="18" applyNumberFormat="1" applyFont="1" applyFill="1" applyBorder="1" applyAlignment="1">
      <alignment vertical="center" wrapText="1"/>
    </xf>
    <xf numFmtId="43" fontId="16" fillId="22" borderId="1" xfId="18" applyNumberFormat="1" applyFont="1" applyFill="1" applyBorder="1" applyAlignment="1">
      <alignment vertical="center" wrapText="1"/>
    </xf>
    <xf numFmtId="0" fontId="24" fillId="2" borderId="1" xfId="0" applyFont="1" applyFill="1" applyBorder="1" applyAlignment="1">
      <alignment horizontal="left"/>
    </xf>
    <xf numFmtId="0" fontId="24" fillId="2" borderId="1" xfId="0" quotePrefix="1" applyFont="1" applyFill="1" applyBorder="1" applyAlignment="1">
      <alignment horizontal="left"/>
    </xf>
    <xf numFmtId="0" fontId="16" fillId="2" borderId="1" xfId="18" applyFont="1" applyFill="1" applyBorder="1" applyAlignment="1">
      <alignment vertical="center" wrapText="1"/>
    </xf>
    <xf numFmtId="43" fontId="25" fillId="2" borderId="1" xfId="16" applyFont="1" applyFill="1" applyBorder="1" applyAlignment="1">
      <alignment vertical="center" wrapText="1"/>
    </xf>
    <xf numFmtId="43" fontId="14" fillId="2" borderId="1" xfId="17" applyNumberFormat="1" applyFill="1" applyBorder="1" applyAlignment="1">
      <alignment horizontal="center" vertical="center" wrapText="1"/>
    </xf>
    <xf numFmtId="43" fontId="16" fillId="2" borderId="1" xfId="17" applyNumberFormat="1" applyFont="1" applyFill="1" applyBorder="1" applyAlignment="1">
      <alignment horizontal="center" vertical="center" wrapText="1"/>
    </xf>
    <xf numFmtId="0" fontId="11" fillId="11" borderId="12" xfId="0" applyFont="1" applyFill="1" applyBorder="1" applyAlignment="1">
      <alignment horizontal="center"/>
    </xf>
    <xf numFmtId="0" fontId="26" fillId="11" borderId="1" xfId="0" applyFont="1" applyFill="1" applyBorder="1" applyAlignment="1">
      <alignment horizontal="left"/>
    </xf>
    <xf numFmtId="0" fontId="26" fillId="11" borderId="1" xfId="0" quotePrefix="1" applyFont="1" applyFill="1" applyBorder="1" applyAlignment="1">
      <alignment horizontal="left"/>
    </xf>
    <xf numFmtId="0" fontId="0" fillId="11" borderId="0" xfId="0" applyFill="1"/>
    <xf numFmtId="0" fontId="22" fillId="2" borderId="1" xfId="0" quotePrefix="1" applyFont="1" applyFill="1" applyBorder="1" applyAlignment="1">
      <alignment horizontal="left"/>
    </xf>
    <xf numFmtId="43" fontId="17" fillId="2" borderId="1" xfId="17" applyNumberFormat="1" applyFont="1" applyFill="1" applyBorder="1" applyAlignment="1">
      <alignment horizontal="center" vertical="center" wrapText="1"/>
    </xf>
    <xf numFmtId="0" fontId="26" fillId="2" borderId="1" xfId="0" applyFont="1" applyFill="1" applyBorder="1" applyAlignment="1">
      <alignment horizontal="left"/>
    </xf>
    <xf numFmtId="0" fontId="26" fillId="2" borderId="1" xfId="0" quotePrefix="1" applyFont="1" applyFill="1" applyBorder="1" applyAlignment="1">
      <alignment horizontal="left"/>
    </xf>
    <xf numFmtId="0" fontId="20" fillId="2" borderId="1" xfId="0" applyFont="1" applyFill="1" applyBorder="1" applyAlignment="1">
      <alignment horizontal="left"/>
    </xf>
    <xf numFmtId="0" fontId="20" fillId="11" borderId="1" xfId="0" applyFont="1" applyFill="1" applyBorder="1" applyAlignment="1">
      <alignment horizontal="left"/>
    </xf>
    <xf numFmtId="43" fontId="68" fillId="0" borderId="1" xfId="17" applyNumberFormat="1" applyFont="1" applyFill="1" applyBorder="1" applyAlignment="1">
      <alignment horizontal="center" vertical="center" wrapText="1"/>
    </xf>
    <xf numFmtId="0" fontId="20" fillId="2" borderId="1" xfId="0" quotePrefix="1" applyFont="1" applyFill="1" applyBorder="1" applyAlignment="1">
      <alignment horizontal="left"/>
    </xf>
    <xf numFmtId="0" fontId="28" fillId="2" borderId="1" xfId="0" applyFont="1" applyFill="1" applyBorder="1" applyAlignment="1">
      <alignment horizontal="left"/>
    </xf>
    <xf numFmtId="0" fontId="28" fillId="2" borderId="1" xfId="0" quotePrefix="1" applyFont="1" applyFill="1" applyBorder="1" applyAlignment="1">
      <alignment horizontal="left"/>
    </xf>
    <xf numFmtId="0" fontId="70" fillId="11" borderId="12" xfId="0" applyFont="1" applyFill="1" applyBorder="1" applyAlignment="1">
      <alignment horizontal="center"/>
    </xf>
    <xf numFmtId="0" fontId="71" fillId="11" borderId="1" xfId="0" applyFont="1" applyFill="1" applyBorder="1" applyAlignment="1">
      <alignment horizontal="left"/>
    </xf>
    <xf numFmtId="43" fontId="65" fillId="0" borderId="1" xfId="17" applyNumberFormat="1" applyFont="1" applyFill="1" applyBorder="1" applyAlignment="1">
      <alignment horizontal="center" vertical="center" wrapText="1"/>
    </xf>
    <xf numFmtId="0" fontId="109" fillId="11" borderId="0" xfId="0" applyFont="1" applyFill="1"/>
    <xf numFmtId="0" fontId="0" fillId="0" borderId="12" xfId="0" applyBorder="1" applyAlignment="1">
      <alignment horizontal="center"/>
    </xf>
    <xf numFmtId="0" fontId="71" fillId="11" borderId="1" xfId="0" quotePrefix="1" applyFont="1" applyFill="1" applyBorder="1" applyAlignment="1">
      <alignment horizontal="left"/>
    </xf>
    <xf numFmtId="0" fontId="20" fillId="0" borderId="1" xfId="0" applyFont="1" applyBorder="1" applyAlignment="1">
      <alignment horizontal="left"/>
    </xf>
    <xf numFmtId="0" fontId="20" fillId="0" borderId="1" xfId="0" quotePrefix="1" applyFont="1" applyBorder="1" applyAlignment="1">
      <alignment horizontal="left"/>
    </xf>
    <xf numFmtId="0" fontId="19" fillId="2" borderId="1" xfId="0" applyFont="1" applyFill="1" applyBorder="1" applyAlignment="1">
      <alignment horizontal="left"/>
    </xf>
    <xf numFmtId="0" fontId="19" fillId="2" borderId="1" xfId="0" quotePrefix="1" applyFont="1" applyFill="1" applyBorder="1" applyAlignment="1">
      <alignment horizontal="left"/>
    </xf>
    <xf numFmtId="0" fontId="16" fillId="2" borderId="1" xfId="17" applyFont="1" applyFill="1" applyBorder="1" applyAlignment="1">
      <alignment horizontal="left" vertical="center" wrapText="1"/>
    </xf>
    <xf numFmtId="43" fontId="16" fillId="2" borderId="1" xfId="20" applyNumberFormat="1" applyFont="1" applyFill="1" applyBorder="1" applyAlignment="1">
      <alignment horizontal="right" vertical="center" wrapText="1"/>
    </xf>
    <xf numFmtId="0" fontId="16" fillId="2" borderId="1" xfId="19" applyFont="1" applyFill="1" applyBorder="1" applyAlignment="1">
      <alignment horizontal="left" vertical="center" wrapText="1"/>
    </xf>
    <xf numFmtId="0" fontId="72" fillId="11" borderId="12" xfId="0" applyFont="1" applyFill="1" applyBorder="1" applyAlignment="1">
      <alignment horizontal="center"/>
    </xf>
    <xf numFmtId="0" fontId="72" fillId="11" borderId="0" xfId="0" applyFont="1" applyFill="1"/>
    <xf numFmtId="0" fontId="73" fillId="11" borderId="1" xfId="0" applyFont="1" applyFill="1" applyBorder="1" applyAlignment="1">
      <alignment horizontal="left"/>
    </xf>
    <xf numFmtId="0" fontId="73" fillId="11" borderId="1" xfId="0" quotePrefix="1" applyFont="1" applyFill="1" applyBorder="1" applyAlignment="1">
      <alignment horizontal="left"/>
    </xf>
    <xf numFmtId="43" fontId="65" fillId="2" borderId="1" xfId="17" applyNumberFormat="1" applyFont="1" applyFill="1" applyBorder="1" applyAlignment="1">
      <alignment horizontal="center" vertical="center" wrapText="1"/>
    </xf>
    <xf numFmtId="0" fontId="74" fillId="2" borderId="1" xfId="0" applyFont="1" applyFill="1" applyBorder="1" applyAlignment="1">
      <alignment horizontal="left"/>
    </xf>
    <xf numFmtId="0" fontId="74" fillId="2" borderId="1" xfId="0" quotePrefix="1" applyFont="1" applyFill="1" applyBorder="1" applyAlignment="1">
      <alignment horizontal="left"/>
    </xf>
    <xf numFmtId="0" fontId="75" fillId="2" borderId="1" xfId="19" applyFont="1" applyFill="1" applyBorder="1" applyAlignment="1">
      <alignment horizontal="left" vertical="center" wrapText="1"/>
    </xf>
    <xf numFmtId="43" fontId="75" fillId="2" borderId="1" xfId="20" applyNumberFormat="1" applyFont="1" applyFill="1" applyBorder="1" applyAlignment="1">
      <alignment horizontal="right" vertical="center" wrapText="1"/>
    </xf>
    <xf numFmtId="43" fontId="76" fillId="2" borderId="1" xfId="17" applyNumberFormat="1" applyFont="1" applyFill="1" applyBorder="1" applyAlignment="1">
      <alignment horizontal="center" vertical="center" wrapText="1"/>
    </xf>
    <xf numFmtId="43" fontId="75" fillId="0" borderId="1" xfId="17" applyNumberFormat="1" applyFont="1" applyFill="1" applyBorder="1" applyAlignment="1">
      <alignment horizontal="center" vertical="center" wrapText="1"/>
    </xf>
    <xf numFmtId="43" fontId="75" fillId="2" borderId="1" xfId="17" applyNumberFormat="1" applyFont="1" applyFill="1" applyBorder="1" applyAlignment="1">
      <alignment horizontal="center" vertical="center" wrapText="1"/>
    </xf>
    <xf numFmtId="43" fontId="75" fillId="5" borderId="1" xfId="17" applyNumberFormat="1" applyFont="1" applyFill="1" applyBorder="1" applyAlignment="1">
      <alignment horizontal="center" vertical="center" wrapText="1"/>
    </xf>
    <xf numFmtId="43" fontId="27" fillId="2" borderId="1" xfId="17" applyNumberFormat="1" applyFont="1" applyFill="1" applyBorder="1" applyAlignment="1">
      <alignment horizontal="center" vertical="center" wrapText="1"/>
    </xf>
    <xf numFmtId="0" fontId="110" fillId="0" borderId="0" xfId="0" applyFont="1"/>
    <xf numFmtId="0" fontId="0" fillId="4" borderId="12" xfId="0" applyFill="1" applyBorder="1" applyAlignment="1">
      <alignment horizontal="center"/>
    </xf>
    <xf numFmtId="0" fontId="19" fillId="4" borderId="1" xfId="0" applyFont="1" applyFill="1" applyBorder="1" applyAlignment="1">
      <alignment horizontal="left"/>
    </xf>
    <xf numFmtId="0" fontId="77" fillId="2" borderId="1" xfId="0" applyFont="1" applyFill="1" applyBorder="1" applyAlignment="1">
      <alignment horizontal="left"/>
    </xf>
    <xf numFmtId="0" fontId="77" fillId="2" borderId="1" xfId="0" quotePrefix="1" applyFont="1" applyFill="1" applyBorder="1" applyAlignment="1">
      <alignment horizontal="left"/>
    </xf>
    <xf numFmtId="0" fontId="29" fillId="2" borderId="1" xfId="0" applyFont="1" applyFill="1" applyBorder="1" applyAlignment="1">
      <alignment horizontal="left"/>
    </xf>
    <xf numFmtId="0" fontId="29" fillId="2" borderId="1" xfId="0" quotePrefix="1" applyFont="1" applyFill="1" applyBorder="1" applyAlignment="1">
      <alignment horizontal="left"/>
    </xf>
    <xf numFmtId="0" fontId="78" fillId="11" borderId="1" xfId="0" applyFont="1" applyFill="1" applyBorder="1" applyAlignment="1">
      <alignment horizontal="left"/>
    </xf>
    <xf numFmtId="0" fontId="78" fillId="11" borderId="1" xfId="0" quotePrefix="1" applyFont="1" applyFill="1" applyBorder="1" applyAlignment="1">
      <alignment horizontal="left"/>
    </xf>
    <xf numFmtId="43" fontId="17" fillId="2" borderId="2" xfId="17" applyNumberFormat="1" applyFont="1" applyFill="1" applyBorder="1" applyAlignment="1">
      <alignment horizontal="center" vertical="center" wrapText="1"/>
    </xf>
    <xf numFmtId="0" fontId="79" fillId="2" borderId="1" xfId="19" applyFont="1" applyFill="1" applyBorder="1" applyAlignment="1">
      <alignment horizontal="left" vertical="center" wrapText="1"/>
    </xf>
    <xf numFmtId="43" fontId="111" fillId="0" borderId="1" xfId="17" applyNumberFormat="1" applyFont="1" applyFill="1" applyBorder="1" applyAlignment="1">
      <alignment horizontal="center" vertical="center" wrapText="1"/>
    </xf>
    <xf numFmtId="43" fontId="111" fillId="11" borderId="1" xfId="17" applyNumberFormat="1" applyFont="1" applyFill="1" applyBorder="1" applyAlignment="1">
      <alignment horizontal="center" vertical="center" wrapText="1"/>
    </xf>
    <xf numFmtId="43" fontId="17" fillId="23" borderId="1" xfId="17" applyNumberFormat="1" applyFont="1" applyFill="1" applyBorder="1" applyAlignment="1">
      <alignment horizontal="center" vertical="center" wrapText="1"/>
    </xf>
    <xf numFmtId="43" fontId="65" fillId="11" borderId="2" xfId="17" applyNumberFormat="1" applyFont="1" applyFill="1" applyBorder="1" applyAlignment="1">
      <alignment horizontal="center" vertical="center" wrapText="1"/>
    </xf>
    <xf numFmtId="43" fontId="17" fillId="6" borderId="1" xfId="17" applyNumberFormat="1" applyFont="1" applyFill="1" applyBorder="1" applyAlignment="1">
      <alignment horizontal="center" vertical="center" wrapText="1"/>
    </xf>
    <xf numFmtId="0" fontId="31" fillId="4" borderId="1" xfId="0" applyFont="1" applyFill="1" applyBorder="1" applyAlignment="1">
      <alignment horizontal="center" vertical="center" wrapText="1"/>
    </xf>
    <xf numFmtId="43" fontId="16" fillId="4" borderId="1" xfId="21" applyNumberFormat="1" applyFont="1" applyFill="1" applyBorder="1" applyAlignment="1">
      <alignment horizontal="right" vertical="center" wrapText="1"/>
    </xf>
    <xf numFmtId="0" fontId="11" fillId="8" borderId="0" xfId="0" applyFont="1" applyFill="1"/>
    <xf numFmtId="43" fontId="16" fillId="2" borderId="0" xfId="17" applyNumberFormat="1" applyFont="1" applyFill="1" applyAlignment="1">
      <alignment horizontal="center" vertical="center" wrapText="1"/>
    </xf>
    <xf numFmtId="43" fontId="17" fillId="2" borderId="0" xfId="17" applyNumberFormat="1" applyFont="1" applyFill="1" applyAlignment="1">
      <alignment horizontal="center" vertical="center" wrapText="1"/>
    </xf>
    <xf numFmtId="43" fontId="14" fillId="2" borderId="0" xfId="17" applyNumberFormat="1" applyFill="1" applyAlignment="1">
      <alignment horizontal="center" vertical="center" wrapText="1"/>
    </xf>
    <xf numFmtId="43" fontId="112" fillId="2" borderId="0" xfId="17" applyNumberFormat="1" applyFont="1" applyFill="1" applyAlignment="1">
      <alignment horizontal="center" vertical="center" wrapText="1"/>
    </xf>
    <xf numFmtId="0" fontId="45" fillId="0" borderId="0" xfId="0" applyFont="1" applyAlignment="1">
      <alignment horizontal="left" vertical="center" wrapText="1"/>
    </xf>
    <xf numFmtId="43" fontId="113" fillId="0" borderId="0" xfId="17" applyNumberFormat="1" applyFont="1" applyFill="1" applyAlignment="1">
      <alignment horizontal="left" vertical="center" wrapText="1"/>
    </xf>
    <xf numFmtId="0" fontId="11" fillId="2" borderId="0" xfId="0" applyFont="1" applyFill="1"/>
    <xf numFmtId="43" fontId="16" fillId="0" borderId="0" xfId="17" applyNumberFormat="1" applyFont="1" applyFill="1" applyAlignment="1">
      <alignment horizontal="right" vertical="center" wrapText="1"/>
    </xf>
    <xf numFmtId="15" fontId="48" fillId="0" borderId="1" xfId="0" quotePrefix="1" applyNumberFormat="1" applyFont="1" applyBorder="1" applyAlignment="1">
      <alignment horizontal="center" vertical="center" wrapText="1"/>
    </xf>
    <xf numFmtId="43" fontId="48" fillId="0" borderId="1" xfId="0" quotePrefix="1" applyNumberFormat="1" applyFont="1" applyBorder="1" applyAlignment="1">
      <alignment horizontal="center" vertical="center" wrapText="1"/>
    </xf>
    <xf numFmtId="3" fontId="48" fillId="2" borderId="1" xfId="0" applyNumberFormat="1" applyFont="1" applyFill="1" applyBorder="1" applyAlignment="1">
      <alignment horizontal="right" vertical="center"/>
    </xf>
    <xf numFmtId="169" fontId="81" fillId="2" borderId="1" xfId="0" applyNumberFormat="1" applyFont="1" applyFill="1" applyBorder="1" applyAlignment="1">
      <alignment horizontal="center" vertical="center"/>
    </xf>
    <xf numFmtId="10" fontId="81" fillId="2" borderId="1" xfId="0" applyNumberFormat="1" applyFont="1" applyFill="1" applyBorder="1" applyAlignment="1">
      <alignment horizontal="center" vertical="center" wrapText="1"/>
    </xf>
    <xf numFmtId="0" fontId="109" fillId="2" borderId="0" xfId="0" applyFont="1" applyFill="1"/>
    <xf numFmtId="0" fontId="72" fillId="2" borderId="0" xfId="0" applyFont="1" applyFill="1"/>
    <xf numFmtId="0" fontId="110" fillId="2" borderId="0" xfId="0" applyFont="1" applyFill="1"/>
    <xf numFmtId="0" fontId="83" fillId="6" borderId="73" xfId="0" applyFont="1" applyFill="1" applyBorder="1" applyAlignment="1">
      <alignment horizontal="center" vertical="center" wrapText="1"/>
    </xf>
    <xf numFmtId="9" fontId="83" fillId="6" borderId="74" xfId="0" applyNumberFormat="1" applyFont="1" applyFill="1" applyBorder="1" applyAlignment="1">
      <alignment horizontal="left" vertical="center" wrapText="1"/>
    </xf>
    <xf numFmtId="0" fontId="83" fillId="6" borderId="74" xfId="0" applyFont="1" applyFill="1" applyBorder="1" applyAlignment="1">
      <alignment horizontal="left" vertical="center" wrapText="1"/>
    </xf>
    <xf numFmtId="2" fontId="83" fillId="24" borderId="74" xfId="0" applyNumberFormat="1" applyFont="1" applyFill="1" applyBorder="1" applyAlignment="1">
      <alignment horizontal="right" vertical="center" wrapText="1"/>
    </xf>
    <xf numFmtId="167" fontId="83" fillId="24" borderId="74" xfId="0" applyNumberFormat="1" applyFont="1" applyFill="1" applyBorder="1" applyAlignment="1">
      <alignment horizontal="right" vertical="center" wrapText="1"/>
    </xf>
    <xf numFmtId="0" fontId="83" fillId="6" borderId="74" xfId="0" applyFont="1" applyFill="1" applyBorder="1" applyAlignment="1">
      <alignment horizontal="right" vertical="center" wrapText="1"/>
    </xf>
    <xf numFmtId="167" fontId="83" fillId="6" borderId="74" xfId="0" applyNumberFormat="1" applyFont="1" applyFill="1" applyBorder="1" applyAlignment="1">
      <alignment horizontal="right" vertical="center" wrapText="1"/>
    </xf>
    <xf numFmtId="167" fontId="83" fillId="6" borderId="74" xfId="0" applyNumberFormat="1" applyFont="1" applyFill="1" applyBorder="1" applyAlignment="1">
      <alignment horizontal="center" vertical="center" wrapText="1"/>
    </xf>
    <xf numFmtId="10" fontId="83" fillId="6" borderId="74" xfId="0" applyNumberFormat="1" applyFont="1" applyFill="1" applyBorder="1" applyAlignment="1">
      <alignment horizontal="right" vertical="center" wrapText="1"/>
    </xf>
    <xf numFmtId="10" fontId="83" fillId="24" borderId="74" xfId="0" applyNumberFormat="1" applyFont="1" applyFill="1" applyBorder="1" applyAlignment="1">
      <alignment horizontal="center" vertical="center" wrapText="1"/>
    </xf>
    <xf numFmtId="10" fontId="83" fillId="24" borderId="75" xfId="0" applyNumberFormat="1" applyFont="1" applyFill="1" applyBorder="1" applyAlignment="1">
      <alignment horizontal="center" vertical="center" wrapText="1"/>
    </xf>
    <xf numFmtId="0" fontId="83" fillId="6" borderId="74" xfId="0" applyFont="1" applyFill="1" applyBorder="1" applyAlignment="1">
      <alignment horizontal="center" vertical="center" wrapText="1"/>
    </xf>
    <xf numFmtId="0" fontId="53" fillId="6" borderId="74" xfId="0" applyFont="1" applyFill="1" applyBorder="1" applyAlignment="1">
      <alignment horizontal="left" vertical="top" wrapText="1"/>
    </xf>
    <xf numFmtId="0" fontId="53" fillId="6" borderId="0" xfId="0" applyFont="1" applyFill="1"/>
    <xf numFmtId="0" fontId="47" fillId="6" borderId="0" xfId="0" applyFont="1" applyFill="1"/>
    <xf numFmtId="0" fontId="83" fillId="6" borderId="7" xfId="0" applyFont="1" applyFill="1" applyBorder="1" applyAlignment="1">
      <alignment horizontal="left" vertical="center" wrapText="1"/>
    </xf>
    <xf numFmtId="41" fontId="83" fillId="6" borderId="7" xfId="0" applyNumberFormat="1" applyFont="1" applyFill="1" applyBorder="1" applyAlignment="1">
      <alignment horizontal="center" vertical="center" wrapText="1"/>
    </xf>
    <xf numFmtId="167" fontId="83" fillId="6" borderId="78" xfId="0" applyNumberFormat="1" applyFont="1" applyFill="1" applyBorder="1" applyAlignment="1">
      <alignment horizontal="center" vertical="center" wrapText="1"/>
    </xf>
    <xf numFmtId="41" fontId="83" fillId="6" borderId="79" xfId="0" applyNumberFormat="1" applyFont="1" applyFill="1" applyBorder="1" applyAlignment="1">
      <alignment horizontal="center" vertical="center" wrapText="1"/>
    </xf>
    <xf numFmtId="167" fontId="83" fillId="6" borderId="76" xfId="0" applyNumberFormat="1" applyFont="1" applyFill="1" applyBorder="1" applyAlignment="1">
      <alignment horizontal="center" vertical="center" wrapText="1"/>
    </xf>
    <xf numFmtId="41" fontId="83" fillId="6" borderId="80" xfId="0" applyNumberFormat="1" applyFont="1" applyFill="1" applyBorder="1" applyAlignment="1">
      <alignment horizontal="center" vertical="center" wrapText="1"/>
    </xf>
    <xf numFmtId="0" fontId="83" fillId="6" borderId="4" xfId="0" applyFont="1" applyFill="1" applyBorder="1" applyAlignment="1">
      <alignment horizontal="left" vertical="center" wrapText="1"/>
    </xf>
    <xf numFmtId="41" fontId="83" fillId="6" borderId="81" xfId="0" applyNumberFormat="1" applyFont="1" applyFill="1" applyBorder="1" applyAlignment="1">
      <alignment horizontal="center" vertical="center" wrapText="1"/>
    </xf>
    <xf numFmtId="41" fontId="83" fillId="6" borderId="74" xfId="0" applyNumberFormat="1" applyFont="1" applyFill="1" applyBorder="1" applyAlignment="1">
      <alignment horizontal="right" vertical="center" wrapText="1"/>
    </xf>
    <xf numFmtId="0" fontId="83" fillId="0" borderId="73" xfId="0" applyFont="1" applyFill="1" applyBorder="1" applyAlignment="1">
      <alignment horizontal="center" vertical="center" wrapText="1"/>
    </xf>
    <xf numFmtId="9" fontId="83" fillId="0" borderId="74" xfId="0" applyNumberFormat="1" applyFont="1" applyFill="1" applyBorder="1" applyAlignment="1">
      <alignment horizontal="left" vertical="center" wrapText="1"/>
    </xf>
    <xf numFmtId="0" fontId="83" fillId="0" borderId="74" xfId="0" applyFont="1" applyFill="1" applyBorder="1" applyAlignment="1">
      <alignment horizontal="left" vertical="center" wrapText="1"/>
    </xf>
    <xf numFmtId="2" fontId="83" fillId="0" borderId="74" xfId="0" applyNumberFormat="1" applyFont="1" applyFill="1" applyBorder="1" applyAlignment="1">
      <alignment horizontal="right" vertical="center" wrapText="1"/>
    </xf>
    <xf numFmtId="167" fontId="83" fillId="0" borderId="74" xfId="0" applyNumberFormat="1" applyFont="1" applyFill="1" applyBorder="1" applyAlignment="1">
      <alignment horizontal="right" vertical="center" wrapText="1"/>
    </xf>
    <xf numFmtId="0" fontId="83" fillId="0" borderId="74" xfId="0" applyFont="1" applyFill="1" applyBorder="1" applyAlignment="1">
      <alignment horizontal="right" vertical="center" wrapText="1"/>
    </xf>
    <xf numFmtId="167" fontId="83" fillId="0" borderId="74" xfId="0" applyNumberFormat="1" applyFont="1" applyFill="1" applyBorder="1" applyAlignment="1">
      <alignment horizontal="center" vertical="center" wrapText="1"/>
    </xf>
    <xf numFmtId="10" fontId="83" fillId="0" borderId="74" xfId="0" applyNumberFormat="1" applyFont="1" applyFill="1" applyBorder="1" applyAlignment="1">
      <alignment horizontal="right" vertical="center" wrapText="1"/>
    </xf>
    <xf numFmtId="10" fontId="83" fillId="0" borderId="74" xfId="0" applyNumberFormat="1" applyFont="1" applyFill="1" applyBorder="1" applyAlignment="1">
      <alignment horizontal="center" vertical="center" wrapText="1"/>
    </xf>
    <xf numFmtId="10" fontId="83" fillId="0" borderId="75" xfId="0" applyNumberFormat="1" applyFont="1" applyFill="1" applyBorder="1" applyAlignment="1">
      <alignment horizontal="center" vertical="center" wrapText="1"/>
    </xf>
    <xf numFmtId="0" fontId="83" fillId="0" borderId="74" xfId="0" applyFont="1" applyFill="1" applyBorder="1" applyAlignment="1">
      <alignment horizontal="center" vertical="center" wrapText="1"/>
    </xf>
    <xf numFmtId="0" fontId="53" fillId="0" borderId="74" xfId="0" applyFont="1" applyFill="1" applyBorder="1" applyAlignment="1">
      <alignment horizontal="left" vertical="top" wrapText="1"/>
    </xf>
    <xf numFmtId="0" fontId="53" fillId="0" borderId="0" xfId="0" applyFont="1" applyFill="1"/>
    <xf numFmtId="0" fontId="47" fillId="0" borderId="0" xfId="0" applyFont="1" applyFill="1"/>
    <xf numFmtId="0" fontId="83" fillId="0" borderId="7" xfId="0" applyFont="1" applyFill="1" applyBorder="1" applyAlignment="1">
      <alignment horizontal="left" vertical="center" wrapText="1"/>
    </xf>
    <xf numFmtId="41" fontId="83" fillId="0" borderId="7" xfId="0" applyNumberFormat="1" applyFont="1" applyFill="1" applyBorder="1" applyAlignment="1">
      <alignment horizontal="center" vertical="center" wrapText="1"/>
    </xf>
    <xf numFmtId="167" fontId="83" fillId="0" borderId="78" xfId="0" applyNumberFormat="1" applyFont="1" applyFill="1" applyBorder="1" applyAlignment="1">
      <alignment horizontal="center" vertical="center" wrapText="1"/>
    </xf>
    <xf numFmtId="0" fontId="83" fillId="0" borderId="6" xfId="0" applyFont="1" applyFill="1" applyBorder="1" applyAlignment="1">
      <alignment horizontal="left" vertical="center" wrapText="1"/>
    </xf>
    <xf numFmtId="0" fontId="115" fillId="0" borderId="73" xfId="0" applyFont="1" applyFill="1" applyBorder="1" applyAlignment="1">
      <alignment horizontal="center" vertical="center" wrapText="1"/>
    </xf>
    <xf numFmtId="9" fontId="115" fillId="0" borderId="74" xfId="0" applyNumberFormat="1" applyFont="1" applyFill="1" applyBorder="1" applyAlignment="1">
      <alignment horizontal="left" vertical="center" wrapText="1"/>
    </xf>
    <xf numFmtId="0" fontId="115" fillId="0" borderId="74" xfId="0" applyFont="1" applyFill="1" applyBorder="1" applyAlignment="1">
      <alignment horizontal="left" vertical="center" wrapText="1"/>
    </xf>
    <xf numFmtId="2" fontId="115" fillId="0" borderId="74" xfId="0" applyNumberFormat="1" applyFont="1" applyFill="1" applyBorder="1" applyAlignment="1">
      <alignment horizontal="right" vertical="center" wrapText="1"/>
    </xf>
    <xf numFmtId="167" fontId="115" fillId="0" borderId="74" xfId="0" applyNumberFormat="1" applyFont="1" applyFill="1" applyBorder="1" applyAlignment="1">
      <alignment horizontal="right" vertical="center" wrapText="1"/>
    </xf>
    <xf numFmtId="0" fontId="115" fillId="0" borderId="74" xfId="0" applyFont="1" applyFill="1" applyBorder="1" applyAlignment="1">
      <alignment horizontal="right" vertical="center" wrapText="1"/>
    </xf>
    <xf numFmtId="167" fontId="115" fillId="0" borderId="74" xfId="0" applyNumberFormat="1" applyFont="1" applyFill="1" applyBorder="1" applyAlignment="1">
      <alignment horizontal="center" vertical="center" wrapText="1"/>
    </xf>
    <xf numFmtId="10" fontId="115" fillId="0" borderId="74" xfId="0" applyNumberFormat="1" applyFont="1" applyFill="1" applyBorder="1" applyAlignment="1">
      <alignment horizontal="right" vertical="center" wrapText="1"/>
    </xf>
    <xf numFmtId="10" fontId="115" fillId="0" borderId="74" xfId="0" applyNumberFormat="1" applyFont="1" applyFill="1" applyBorder="1" applyAlignment="1">
      <alignment horizontal="center" vertical="center" wrapText="1"/>
    </xf>
    <xf numFmtId="10" fontId="115" fillId="0" borderId="75" xfId="0" applyNumberFormat="1" applyFont="1" applyFill="1" applyBorder="1" applyAlignment="1">
      <alignment horizontal="center" vertical="center" wrapText="1"/>
    </xf>
    <xf numFmtId="0" fontId="115" fillId="0" borderId="74" xfId="0" applyFont="1" applyFill="1" applyBorder="1" applyAlignment="1">
      <alignment horizontal="center" vertical="center" wrapText="1"/>
    </xf>
    <xf numFmtId="0" fontId="116" fillId="0" borderId="74" xfId="0" applyFont="1" applyFill="1" applyBorder="1" applyAlignment="1">
      <alignment horizontal="left" vertical="top" wrapText="1"/>
    </xf>
    <xf numFmtId="0" fontId="116" fillId="0" borderId="0" xfId="0" applyFont="1" applyFill="1"/>
    <xf numFmtId="0" fontId="117" fillId="0" borderId="0" xfId="0" applyFont="1" applyFill="1"/>
    <xf numFmtId="0" fontId="115" fillId="0" borderId="7" xfId="0" applyFont="1" applyFill="1" applyBorder="1" applyAlignment="1">
      <alignment horizontal="left" vertical="center" wrapText="1"/>
    </xf>
    <xf numFmtId="41" fontId="115" fillId="0" borderId="7" xfId="0" applyNumberFormat="1" applyFont="1" applyFill="1" applyBorder="1" applyAlignment="1">
      <alignment horizontal="center" vertical="center" wrapText="1"/>
    </xf>
    <xf numFmtId="167" fontId="115" fillId="0" borderId="78" xfId="0" applyNumberFormat="1" applyFont="1" applyFill="1" applyBorder="1" applyAlignment="1">
      <alignment horizontal="center" vertical="center" wrapText="1"/>
    </xf>
    <xf numFmtId="0" fontId="87" fillId="0" borderId="8" xfId="22" applyFont="1" applyBorder="1" applyAlignment="1">
      <alignment vertical="center"/>
    </xf>
    <xf numFmtId="43" fontId="118" fillId="0" borderId="1" xfId="24" applyFont="1" applyBorder="1" applyAlignment="1">
      <alignment vertical="center" wrapText="1"/>
    </xf>
    <xf numFmtId="0" fontId="87" fillId="2" borderId="64" xfId="24" applyNumberFormat="1" applyFont="1" applyFill="1" applyBorder="1" applyAlignment="1">
      <alignment vertical="center" wrapText="1"/>
    </xf>
    <xf numFmtId="0" fontId="87" fillId="0" borderId="1" xfId="25" applyNumberFormat="1" applyFont="1" applyBorder="1" applyAlignment="1">
      <alignment vertical="center" wrapText="1"/>
    </xf>
    <xf numFmtId="0" fontId="87" fillId="0" borderId="51" xfId="22" applyFont="1" applyBorder="1" applyAlignment="1">
      <alignment vertical="center" wrapText="1"/>
    </xf>
    <xf numFmtId="0" fontId="87" fillId="0" borderId="2" xfId="25" applyNumberFormat="1" applyFont="1" applyBorder="1" applyAlignment="1">
      <alignment vertical="center" wrapText="1"/>
    </xf>
    <xf numFmtId="0" fontId="87" fillId="0" borderId="49" xfId="22" applyFont="1" applyBorder="1" applyAlignment="1">
      <alignment vertical="center" wrapText="1"/>
    </xf>
    <xf numFmtId="0" fontId="87" fillId="0" borderId="64" xfId="25" applyNumberFormat="1" applyFont="1" applyBorder="1" applyAlignment="1">
      <alignment vertical="center" wrapText="1"/>
    </xf>
    <xf numFmtId="0" fontId="11" fillId="2" borderId="0" xfId="0" applyFont="1" applyFill="1" applyAlignment="1">
      <alignment horizont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5" fillId="5" borderId="2" xfId="17" applyFont="1" applyFill="1" applyBorder="1" applyAlignment="1">
      <alignment horizontal="center" vertical="center" wrapText="1"/>
    </xf>
    <xf numFmtId="0" fontId="15" fillId="5" borderId="9" xfId="17" applyFont="1" applyFill="1" applyBorder="1" applyAlignment="1">
      <alignment horizontal="center" vertical="center" wrapText="1"/>
    </xf>
    <xf numFmtId="0" fontId="15" fillId="5" borderId="3" xfId="17" applyFont="1" applyFill="1" applyBorder="1" applyAlignment="1">
      <alignment horizontal="center" vertical="center" wrapText="1"/>
    </xf>
    <xf numFmtId="0" fontId="15" fillId="5" borderId="103" xfId="17" applyFont="1" applyFill="1" applyBorder="1" applyAlignment="1">
      <alignment horizontal="center" vertical="center" wrapText="1"/>
    </xf>
    <xf numFmtId="0" fontId="16" fillId="5" borderId="4" xfId="17" applyFont="1" applyFill="1" applyBorder="1" applyAlignment="1">
      <alignment horizontal="center" vertical="center" wrapText="1"/>
    </xf>
    <xf numFmtId="0" fontId="16" fillId="5" borderId="13" xfId="17" applyFont="1" applyFill="1" applyBorder="1" applyAlignment="1">
      <alignment horizontal="center" vertical="center" wrapText="1"/>
    </xf>
    <xf numFmtId="0" fontId="17" fillId="5" borderId="2" xfId="17" applyFont="1" applyFill="1" applyBorder="1" applyAlignment="1">
      <alignment horizontal="center" vertical="center" wrapText="1"/>
    </xf>
    <xf numFmtId="0" fontId="17" fillId="5" borderId="9" xfId="17" applyFont="1" applyFill="1" applyBorder="1" applyAlignment="1">
      <alignment horizontal="center" vertical="center" wrapText="1"/>
    </xf>
    <xf numFmtId="0" fontId="45" fillId="0" borderId="0" xfId="0" applyFont="1" applyAlignment="1">
      <alignment horizontal="left" vertical="center" wrapText="1"/>
    </xf>
    <xf numFmtId="0" fontId="114" fillId="0" borderId="0" xfId="0" applyFont="1" applyAlignment="1">
      <alignment horizontal="left" vertical="center" wrapText="1"/>
    </xf>
    <xf numFmtId="0" fontId="16" fillId="5" borderId="1" xfId="17" applyFont="1" applyFill="1" applyBorder="1" applyAlignment="1">
      <alignment horizontal="center" vertical="center" wrapText="1"/>
    </xf>
    <xf numFmtId="0" fontId="18" fillId="5" borderId="1" xfId="17" applyFont="1" applyFill="1" applyBorder="1" applyAlignment="1">
      <alignment horizontal="center" vertical="center" wrapText="1"/>
    </xf>
    <xf numFmtId="0" fontId="16" fillId="2" borderId="6" xfId="17" applyFont="1" applyFill="1" applyBorder="1" applyAlignment="1">
      <alignment horizontal="left" vertical="center" wrapText="1"/>
    </xf>
    <xf numFmtId="0" fontId="16" fillId="2" borderId="7" xfId="17" applyFont="1" applyFill="1" applyBorder="1" applyAlignment="1">
      <alignment horizontal="left" vertical="center" wrapText="1"/>
    </xf>
    <xf numFmtId="0" fontId="16" fillId="2" borderId="8" xfId="17" applyFont="1" applyFill="1" applyBorder="1" applyAlignment="1">
      <alignment horizontal="left" vertical="center" wrapText="1"/>
    </xf>
    <xf numFmtId="0" fontId="9" fillId="2" borderId="0" xfId="0" applyFont="1" applyFill="1" applyAlignment="1">
      <alignment horizontal="center" vertical="center"/>
    </xf>
    <xf numFmtId="0" fontId="58" fillId="4" borderId="2" xfId="0" applyFont="1" applyFill="1" applyBorder="1" applyAlignment="1">
      <alignment horizontal="center" vertical="center" wrapText="1" readingOrder="1"/>
    </xf>
    <xf numFmtId="0" fontId="58" fillId="4" borderId="5" xfId="0" applyFont="1" applyFill="1" applyBorder="1" applyAlignment="1">
      <alignment horizontal="center" vertical="center" wrapText="1" readingOrder="1"/>
    </xf>
    <xf numFmtId="0" fontId="58" fillId="4" borderId="9" xfId="0" applyFont="1" applyFill="1" applyBorder="1" applyAlignment="1">
      <alignment horizontal="center" vertical="center" wrapText="1" readingOrder="1"/>
    </xf>
    <xf numFmtId="0" fontId="58" fillId="4" borderId="1" xfId="0" applyFont="1" applyFill="1" applyBorder="1" applyAlignment="1">
      <alignment horizontal="center" vertical="center" wrapText="1" readingOrder="1"/>
    </xf>
    <xf numFmtId="0" fontId="60" fillId="2" borderId="6" xfId="0" applyFont="1" applyFill="1" applyBorder="1" applyAlignment="1">
      <alignment horizontal="center" vertical="center"/>
    </xf>
    <xf numFmtId="0" fontId="60" fillId="2" borderId="7" xfId="0" applyFont="1" applyFill="1" applyBorder="1" applyAlignment="1">
      <alignment horizontal="center" vertical="center"/>
    </xf>
    <xf numFmtId="0" fontId="60" fillId="2" borderId="8" xfId="0" applyFont="1" applyFill="1" applyBorder="1" applyAlignment="1">
      <alignment horizontal="center" vertical="center"/>
    </xf>
    <xf numFmtId="0" fontId="10" fillId="2" borderId="6" xfId="0" applyFont="1" applyFill="1" applyBorder="1" applyAlignment="1">
      <alignment horizontal="center" vertical="center" wrapText="1" readingOrder="1"/>
    </xf>
    <xf numFmtId="0" fontId="10" fillId="2" borderId="8" xfId="0" applyFont="1" applyFill="1" applyBorder="1" applyAlignment="1">
      <alignment horizontal="center" vertical="center" wrapText="1" readingOrder="1"/>
    </xf>
    <xf numFmtId="41" fontId="62" fillId="2" borderId="0" xfId="0" applyNumberFormat="1" applyFont="1" applyFill="1" applyAlignment="1">
      <alignment horizontal="left"/>
    </xf>
    <xf numFmtId="0" fontId="58" fillId="4" borderId="6" xfId="0" applyFont="1" applyFill="1" applyBorder="1" applyAlignment="1">
      <alignment horizontal="center" vertical="center" wrapText="1" readingOrder="1"/>
    </xf>
    <xf numFmtId="0" fontId="58" fillId="4" borderId="8" xfId="0" applyFont="1" applyFill="1" applyBorder="1" applyAlignment="1">
      <alignment horizontal="center" vertical="center" wrapText="1" readingOrder="1"/>
    </xf>
    <xf numFmtId="0" fontId="63" fillId="4" borderId="2" xfId="0" applyFont="1" applyFill="1" applyBorder="1" applyAlignment="1">
      <alignment horizontal="center" vertical="center" wrapText="1" readingOrder="1"/>
    </xf>
    <xf numFmtId="0" fontId="63" fillId="4" borderId="5" xfId="0" applyFont="1" applyFill="1" applyBorder="1" applyAlignment="1">
      <alignment horizontal="center" vertical="center" wrapText="1" readingOrder="1"/>
    </xf>
    <xf numFmtId="0" fontId="63" fillId="4" borderId="9" xfId="0" applyFont="1" applyFill="1" applyBorder="1" applyAlignment="1">
      <alignment horizontal="center" vertical="center" wrapText="1" readingOrder="1"/>
    </xf>
    <xf numFmtId="0" fontId="58" fillId="4" borderId="3" xfId="0" applyFont="1" applyFill="1" applyBorder="1" applyAlignment="1">
      <alignment horizontal="center" vertical="center" wrapText="1" readingOrder="1"/>
    </xf>
    <xf numFmtId="0" fontId="58" fillId="4" borderId="4" xfId="0" applyFont="1" applyFill="1" applyBorder="1" applyAlignment="1">
      <alignment horizontal="center" vertical="center" wrapText="1" readingOrder="1"/>
    </xf>
    <xf numFmtId="0" fontId="58" fillId="4" borderId="11" xfId="0" applyFont="1" applyFill="1" applyBorder="1" applyAlignment="1">
      <alignment horizontal="center" vertical="center" wrapText="1" readingOrder="1"/>
    </xf>
    <xf numFmtId="0" fontId="50" fillId="0" borderId="1" xfId="0" applyFont="1" applyBorder="1" applyAlignment="1">
      <alignment horizontal="center" vertical="center"/>
    </xf>
    <xf numFmtId="0" fontId="35" fillId="0" borderId="42" xfId="0" applyFont="1" applyBorder="1" applyAlignment="1">
      <alignment horizontal="left" vertical="center"/>
    </xf>
    <xf numFmtId="0" fontId="35" fillId="0" borderId="7" xfId="0" applyFont="1" applyBorder="1" applyAlignment="1">
      <alignment horizontal="left" vertical="center"/>
    </xf>
    <xf numFmtId="0" fontId="35" fillId="0" borderId="32" xfId="0" applyFont="1" applyBorder="1" applyAlignment="1">
      <alignment horizontal="left" vertical="center"/>
    </xf>
    <xf numFmtId="0" fontId="33" fillId="0" borderId="4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166" fontId="37" fillId="0" borderId="0" xfId="0" applyNumberFormat="1" applyFont="1" applyAlignment="1">
      <alignment horizontal="center" vertical="center"/>
    </xf>
    <xf numFmtId="0" fontId="34" fillId="0" borderId="34"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44" xfId="0" applyFont="1" applyBorder="1" applyAlignment="1">
      <alignment horizontal="center" vertical="center" wrapText="1"/>
    </xf>
    <xf numFmtId="0" fontId="34" fillId="7" borderId="17" xfId="0" applyFont="1" applyFill="1" applyBorder="1" applyAlignment="1">
      <alignment horizontal="center" vertical="center" textRotation="90" wrapText="1"/>
    </xf>
    <xf numFmtId="0" fontId="34" fillId="7" borderId="1" xfId="0" applyFont="1" applyFill="1" applyBorder="1" applyAlignment="1">
      <alignment horizontal="center" vertical="center" textRotation="90" wrapText="1"/>
    </xf>
    <xf numFmtId="43" fontId="38" fillId="0" borderId="0" xfId="0" applyNumberFormat="1" applyFont="1" applyAlignment="1">
      <alignment horizontal="center" vertical="center"/>
    </xf>
    <xf numFmtId="0" fontId="34" fillId="0" borderId="2" xfId="0" applyFont="1" applyBorder="1" applyAlignment="1">
      <alignment horizontal="center" vertical="center"/>
    </xf>
    <xf numFmtId="0" fontId="34" fillId="0" borderId="5" xfId="0" applyFont="1" applyBorder="1" applyAlignment="1">
      <alignment horizontal="center" vertical="center"/>
    </xf>
    <xf numFmtId="0" fontId="34" fillId="0" borderId="9" xfId="0" applyFont="1" applyBorder="1" applyAlignment="1">
      <alignment horizontal="center" vertical="center"/>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9" xfId="0" applyFont="1" applyBorder="1" applyAlignment="1">
      <alignment horizontal="center" vertical="center" wrapText="1"/>
    </xf>
    <xf numFmtId="4" fontId="34" fillId="2" borderId="2" xfId="0" quotePrefix="1" applyNumberFormat="1" applyFont="1" applyFill="1" applyBorder="1" applyAlignment="1">
      <alignment horizontal="center" vertical="center" wrapText="1"/>
    </xf>
    <xf numFmtId="4" fontId="34" fillId="2" borderId="5" xfId="0" quotePrefix="1" applyNumberFormat="1" applyFont="1" applyFill="1" applyBorder="1" applyAlignment="1">
      <alignment horizontal="center" vertical="center" wrapText="1"/>
    </xf>
    <xf numFmtId="4" fontId="34" fillId="2" borderId="9" xfId="0" quotePrefix="1" applyNumberFormat="1" applyFont="1" applyFill="1" applyBorder="1" applyAlignment="1">
      <alignment horizontal="center" vertical="center" wrapText="1"/>
    </xf>
    <xf numFmtId="0" fontId="34" fillId="7" borderId="17" xfId="0" applyFont="1" applyFill="1" applyBorder="1" applyAlignment="1">
      <alignment horizontal="center"/>
    </xf>
    <xf numFmtId="0" fontId="34" fillId="7" borderId="17"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left"/>
    </xf>
    <xf numFmtId="0" fontId="34" fillId="7" borderId="40" xfId="0" applyFont="1" applyFill="1" applyBorder="1" applyAlignment="1">
      <alignment horizontal="center" vertical="center" wrapText="1"/>
    </xf>
    <xf numFmtId="0" fontId="34" fillId="7" borderId="41"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1" xfId="0" applyFont="1" applyFill="1" applyBorder="1" applyAlignment="1">
      <alignment horizontal="center" vertical="center"/>
    </xf>
    <xf numFmtId="0" fontId="42" fillId="0" borderId="35"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37" xfId="0" applyFont="1" applyBorder="1" applyAlignment="1">
      <alignment horizontal="center" vertical="center" wrapText="1"/>
    </xf>
    <xf numFmtId="166" fontId="52" fillId="0" borderId="0" xfId="0" applyNumberFormat="1" applyFont="1" applyAlignment="1">
      <alignment horizontal="center" vertical="center"/>
    </xf>
    <xf numFmtId="43" fontId="54" fillId="0" borderId="0" xfId="0" applyNumberFormat="1" applyFont="1" applyAlignment="1">
      <alignment horizontal="center" vertical="center"/>
    </xf>
    <xf numFmtId="0" fontId="48" fillId="0" borderId="2" xfId="0" applyFont="1" applyBorder="1" applyAlignment="1">
      <alignment horizontal="center" vertical="center"/>
    </xf>
    <xf numFmtId="0" fontId="48" fillId="0" borderId="9" xfId="0" applyFont="1" applyBorder="1" applyAlignment="1">
      <alignment horizontal="center" vertical="center"/>
    </xf>
    <xf numFmtId="0" fontId="48" fillId="0" borderId="2"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5" xfId="0" applyFont="1" applyBorder="1" applyAlignment="1">
      <alignment horizontal="center" vertical="center"/>
    </xf>
    <xf numFmtId="0" fontId="48" fillId="0" borderId="34" xfId="0" applyFont="1" applyBorder="1" applyAlignment="1">
      <alignment horizontal="center" vertical="center" wrapText="1"/>
    </xf>
    <xf numFmtId="0" fontId="48" fillId="0" borderId="44" xfId="0" applyFont="1" applyBorder="1" applyAlignment="1">
      <alignment horizontal="center" vertical="center" wrapText="1"/>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2" fillId="0" borderId="32" xfId="0" applyFont="1" applyBorder="1" applyAlignment="1">
      <alignment horizontal="left" vertical="center" wrapText="1"/>
    </xf>
    <xf numFmtId="0" fontId="48" fillId="0" borderId="26" xfId="0" applyFont="1" applyBorder="1" applyAlignment="1">
      <alignment horizontal="center" vertical="center" wrapText="1"/>
    </xf>
    <xf numFmtId="4" fontId="48" fillId="2" borderId="2" xfId="0" quotePrefix="1" applyNumberFormat="1" applyFont="1" applyFill="1" applyBorder="1" applyAlignment="1">
      <alignment horizontal="center" vertical="center" wrapText="1"/>
    </xf>
    <xf numFmtId="4" fontId="48" fillId="2" borderId="26" xfId="0" quotePrefix="1" applyNumberFormat="1" applyFont="1" applyFill="1" applyBorder="1" applyAlignment="1">
      <alignment horizontal="center" vertical="center" wrapText="1"/>
    </xf>
    <xf numFmtId="0" fontId="48" fillId="0" borderId="53" xfId="0" applyFont="1" applyBorder="1" applyAlignment="1">
      <alignment horizontal="center" vertical="center" wrapText="1"/>
    </xf>
    <xf numFmtId="0" fontId="51" fillId="0" borderId="29" xfId="0" applyFont="1" applyBorder="1" applyAlignment="1">
      <alignment horizontal="left" vertical="center"/>
    </xf>
    <xf numFmtId="0" fontId="51" fillId="0" borderId="13" xfId="0" applyFont="1" applyBorder="1" applyAlignment="1">
      <alignment horizontal="left" vertical="center"/>
    </xf>
    <xf numFmtId="0" fontId="51" fillId="0" borderId="30" xfId="0" applyFont="1" applyBorder="1" applyAlignment="1">
      <alignment horizontal="left" vertical="center"/>
    </xf>
    <xf numFmtId="0" fontId="48" fillId="0" borderId="5" xfId="0" applyFont="1" applyBorder="1" applyAlignment="1">
      <alignment horizontal="center" vertical="center" wrapText="1"/>
    </xf>
    <xf numFmtId="0" fontId="48" fillId="0" borderId="43" xfId="0" applyFont="1" applyBorder="1" applyAlignment="1">
      <alignment horizontal="center" vertical="center" wrapText="1"/>
    </xf>
    <xf numFmtId="0" fontId="50" fillId="0" borderId="22" xfId="0" applyFont="1" applyBorder="1" applyAlignment="1">
      <alignment horizontal="center" vertical="center"/>
    </xf>
    <xf numFmtId="0" fontId="50" fillId="0" borderId="23" xfId="0" applyFont="1" applyBorder="1" applyAlignment="1">
      <alignment horizontal="center" vertical="center"/>
    </xf>
    <xf numFmtId="0" fontId="48" fillId="7" borderId="17"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48" fillId="7" borderId="24" xfId="0" applyFont="1" applyFill="1" applyBorder="1" applyAlignment="1">
      <alignment horizontal="center" vertical="center" wrapText="1"/>
    </xf>
    <xf numFmtId="0" fontId="48" fillId="7" borderId="17" xfId="0" applyFont="1" applyFill="1" applyBorder="1" applyAlignment="1">
      <alignment horizontal="center" vertical="center"/>
    </xf>
    <xf numFmtId="0" fontId="48" fillId="7" borderId="17" xfId="0" applyFont="1" applyFill="1" applyBorder="1" applyAlignment="1">
      <alignment horizontal="center" vertical="center" textRotation="90" wrapText="1"/>
    </xf>
    <xf numFmtId="0" fontId="48" fillId="7" borderId="1" xfId="0" applyFont="1" applyFill="1" applyBorder="1" applyAlignment="1">
      <alignment horizontal="center" vertical="center" textRotation="90" wrapText="1"/>
    </xf>
    <xf numFmtId="0" fontId="48" fillId="7" borderId="24" xfId="0" applyFont="1" applyFill="1" applyBorder="1" applyAlignment="1">
      <alignment horizontal="center" vertical="center" textRotation="90" wrapText="1"/>
    </xf>
    <xf numFmtId="0" fontId="48" fillId="7" borderId="14" xfId="0" applyFont="1" applyFill="1" applyBorder="1" applyAlignment="1">
      <alignment horizontal="center" vertical="center" wrapText="1"/>
    </xf>
    <xf numFmtId="0" fontId="48" fillId="7" borderId="19" xfId="0" applyFont="1" applyFill="1" applyBorder="1" applyAlignment="1">
      <alignment horizontal="center" vertical="center" wrapText="1"/>
    </xf>
    <xf numFmtId="0" fontId="48" fillId="7" borderId="21" xfId="0" applyFont="1" applyFill="1" applyBorder="1" applyAlignment="1">
      <alignment horizontal="center" vertical="center" wrapText="1"/>
    </xf>
    <xf numFmtId="0" fontId="48" fillId="7" borderId="15"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8" fillId="7" borderId="12" xfId="0" applyFont="1" applyFill="1" applyBorder="1" applyAlignment="1">
      <alignment horizontal="center" vertical="center" wrapText="1"/>
    </xf>
    <xf numFmtId="0" fontId="48" fillId="7" borderId="10" xfId="0" applyFont="1" applyFill="1" applyBorder="1" applyAlignment="1">
      <alignment horizontal="center" vertical="center" wrapText="1"/>
    </xf>
    <xf numFmtId="0" fontId="48" fillId="7" borderId="22" xfId="0" applyFont="1" applyFill="1" applyBorder="1" applyAlignment="1">
      <alignment horizontal="center" vertical="center" wrapText="1"/>
    </xf>
    <xf numFmtId="0" fontId="48" fillId="7" borderId="23" xfId="0" applyFont="1" applyFill="1" applyBorder="1" applyAlignment="1">
      <alignment horizontal="center" vertical="center" wrapText="1"/>
    </xf>
    <xf numFmtId="0" fontId="48" fillId="7" borderId="18" xfId="0" applyFont="1" applyFill="1" applyBorder="1" applyAlignment="1">
      <alignment horizontal="center" vertical="center" wrapText="1"/>
    </xf>
    <xf numFmtId="0" fontId="48" fillId="7" borderId="20" xfId="0" applyFont="1" applyFill="1" applyBorder="1" applyAlignment="1">
      <alignment horizontal="center" vertical="center" wrapText="1"/>
    </xf>
    <xf numFmtId="0" fontId="48" fillId="7" borderId="25" xfId="0" applyFont="1" applyFill="1" applyBorder="1" applyAlignment="1">
      <alignment horizontal="center" vertical="center" wrapText="1"/>
    </xf>
    <xf numFmtId="0" fontId="48" fillId="7" borderId="1" xfId="0" applyFont="1" applyFill="1" applyBorder="1" applyAlignment="1">
      <alignment horizontal="center" vertical="center"/>
    </xf>
    <xf numFmtId="0" fontId="83" fillId="0" borderId="92" xfId="0" quotePrefix="1" applyFont="1" applyBorder="1" applyAlignment="1">
      <alignment horizontal="left" vertical="center" wrapText="1"/>
    </xf>
    <xf numFmtId="0" fontId="83" fillId="0" borderId="0" xfId="0" quotePrefix="1" applyFont="1" applyAlignment="1">
      <alignment horizontal="left" vertical="center" wrapText="1"/>
    </xf>
    <xf numFmtId="0" fontId="83" fillId="0" borderId="93" xfId="0" quotePrefix="1" applyFont="1" applyBorder="1" applyAlignment="1">
      <alignment horizontal="left" vertical="center" wrapText="1"/>
    </xf>
    <xf numFmtId="0" fontId="85" fillId="0" borderId="96" xfId="0" applyFont="1" applyBorder="1" applyAlignment="1">
      <alignment horizontal="left" vertical="center" wrapText="1"/>
    </xf>
    <xf numFmtId="0" fontId="85" fillId="0" borderId="7" xfId="0" applyFont="1" applyBorder="1" applyAlignment="1">
      <alignment horizontal="left" vertical="center" wrapText="1"/>
    </xf>
    <xf numFmtId="0" fontId="85" fillId="0" borderId="97" xfId="0" applyFont="1" applyBorder="1" applyAlignment="1">
      <alignment horizontal="left" vertical="center" wrapText="1"/>
    </xf>
    <xf numFmtId="0" fontId="85" fillId="0" borderId="92" xfId="0" applyFont="1" applyBorder="1" applyAlignment="1">
      <alignment horizontal="left" vertical="center" wrapText="1"/>
    </xf>
    <xf numFmtId="0" fontId="85" fillId="0" borderId="0" xfId="0" applyFont="1" applyAlignment="1">
      <alignment horizontal="left" vertical="center" wrapText="1"/>
    </xf>
    <xf numFmtId="0" fontId="85" fillId="0" borderId="93" xfId="0" applyFont="1" applyBorder="1" applyAlignment="1">
      <alignment horizontal="left" vertical="center" wrapText="1"/>
    </xf>
    <xf numFmtId="0" fontId="83" fillId="0" borderId="94" xfId="0" quotePrefix="1" applyFont="1" applyBorder="1" applyAlignment="1">
      <alignment horizontal="left" vertical="center" wrapText="1"/>
    </xf>
    <xf numFmtId="0" fontId="83" fillId="0" borderId="13" xfId="0" quotePrefix="1" applyFont="1" applyBorder="1" applyAlignment="1">
      <alignment horizontal="left" vertical="center" wrapText="1"/>
    </xf>
    <xf numFmtId="0" fontId="83" fillId="0" borderId="95" xfId="0" quotePrefix="1" applyFont="1" applyBorder="1" applyAlignment="1">
      <alignment horizontal="left" vertical="center" wrapText="1"/>
    </xf>
    <xf numFmtId="0" fontId="55" fillId="0" borderId="85" xfId="0" applyFont="1" applyBorder="1" applyAlignment="1">
      <alignment horizontal="center" vertical="center"/>
    </xf>
    <xf numFmtId="0" fontId="55" fillId="0" borderId="86" xfId="0" applyFont="1" applyBorder="1" applyAlignment="1">
      <alignment horizontal="center" vertical="center"/>
    </xf>
    <xf numFmtId="0" fontId="55" fillId="0" borderId="87" xfId="0" applyFont="1" applyBorder="1" applyAlignment="1">
      <alignment horizontal="center" vertical="center"/>
    </xf>
    <xf numFmtId="0" fontId="85" fillId="0" borderId="89" xfId="0" applyFont="1" applyBorder="1" applyAlignment="1">
      <alignment horizontal="left" vertical="center" wrapText="1"/>
    </xf>
    <xf numFmtId="0" fontId="85" fillId="0" borderId="90" xfId="0" applyFont="1" applyBorder="1" applyAlignment="1">
      <alignment horizontal="left" vertical="center" wrapText="1"/>
    </xf>
    <xf numFmtId="0" fontId="85" fillId="0" borderId="91" xfId="0" applyFont="1" applyBorder="1" applyAlignment="1">
      <alignment horizontal="left" vertical="center" wrapText="1"/>
    </xf>
    <xf numFmtId="167" fontId="85" fillId="0" borderId="74" xfId="0" applyNumberFormat="1" applyFont="1" applyBorder="1" applyAlignment="1">
      <alignment horizontal="right" vertical="center" wrapText="1"/>
    </xf>
    <xf numFmtId="167" fontId="83" fillId="0" borderId="74" xfId="0" applyNumberFormat="1" applyFont="1" applyBorder="1" applyAlignment="1">
      <alignment horizontal="right" vertical="center" wrapText="1"/>
    </xf>
    <xf numFmtId="167" fontId="55" fillId="0" borderId="75" xfId="0" applyNumberFormat="1" applyFont="1" applyBorder="1" applyAlignment="1">
      <alignment horizontal="center"/>
    </xf>
    <xf numFmtId="167" fontId="55" fillId="0" borderId="76" xfId="0" applyNumberFormat="1" applyFont="1" applyBorder="1" applyAlignment="1">
      <alignment horizontal="center"/>
    </xf>
    <xf numFmtId="0" fontId="55" fillId="0" borderId="75" xfId="0" applyFont="1" applyBorder="1" applyAlignment="1">
      <alignment horizontal="center"/>
    </xf>
    <xf numFmtId="0" fontId="55" fillId="0" borderId="82" xfId="0" applyFont="1" applyBorder="1" applyAlignment="1">
      <alignment horizontal="center"/>
    </xf>
    <xf numFmtId="0" fontId="55" fillId="0" borderId="76" xfId="0" applyFont="1" applyBorder="1" applyAlignment="1">
      <alignment horizontal="center"/>
    </xf>
    <xf numFmtId="0" fontId="85" fillId="0" borderId="74" xfId="0" applyFont="1" applyBorder="1" applyAlignment="1">
      <alignment horizontal="left" vertical="center" wrapText="1"/>
    </xf>
    <xf numFmtId="0" fontId="83" fillId="0" borderId="74" xfId="0" applyFont="1" applyBorder="1" applyAlignment="1">
      <alignment horizontal="left" vertical="center" wrapText="1"/>
    </xf>
    <xf numFmtId="2" fontId="83" fillId="13" borderId="74" xfId="0" applyNumberFormat="1" applyFont="1" applyFill="1" applyBorder="1" applyAlignment="1">
      <alignment horizontal="right" vertical="center" wrapText="1"/>
    </xf>
    <xf numFmtId="167" fontId="83" fillId="13" borderId="74" xfId="0" applyNumberFormat="1" applyFont="1" applyFill="1" applyBorder="1" applyAlignment="1">
      <alignment horizontal="right" vertical="center" wrapText="1"/>
    </xf>
    <xf numFmtId="0" fontId="83" fillId="0" borderId="74" xfId="0" applyFont="1" applyBorder="1" applyAlignment="1">
      <alignment horizontal="right" vertical="center" wrapText="1"/>
    </xf>
    <xf numFmtId="167" fontId="83" fillId="0" borderId="74" xfId="0" applyNumberFormat="1" applyFont="1" applyBorder="1" applyAlignment="1">
      <alignment horizontal="center" vertical="center" wrapText="1"/>
    </xf>
    <xf numFmtId="0" fontId="83" fillId="0" borderId="74" xfId="0" applyFont="1" applyBorder="1" applyAlignment="1">
      <alignment horizontal="center" wrapText="1"/>
    </xf>
    <xf numFmtId="0" fontId="85" fillId="0" borderId="74" xfId="0" applyFont="1" applyBorder="1" applyAlignment="1">
      <alignment horizontal="left" vertical="top" wrapText="1"/>
    </xf>
    <xf numFmtId="0" fontId="83" fillId="0" borderId="74" xfId="0" applyFont="1" applyBorder="1" applyAlignment="1">
      <alignment horizontal="center" vertical="top" wrapText="1"/>
    </xf>
    <xf numFmtId="0" fontId="53" fillId="0" borderId="74" xfId="0" applyFont="1" applyBorder="1" applyAlignment="1">
      <alignment wrapText="1"/>
    </xf>
    <xf numFmtId="0" fontId="53" fillId="0" borderId="75" xfId="0" applyFont="1" applyBorder="1" applyAlignment="1">
      <alignment wrapText="1"/>
    </xf>
    <xf numFmtId="0" fontId="83" fillId="0" borderId="73" xfId="0" applyFont="1" applyBorder="1" applyAlignment="1">
      <alignment horizontal="center" vertical="center" wrapText="1"/>
    </xf>
    <xf numFmtId="0" fontId="83" fillId="0" borderId="74" xfId="0" applyFont="1" applyBorder="1" applyAlignment="1">
      <alignment horizontal="center" vertical="center" wrapText="1"/>
    </xf>
    <xf numFmtId="0" fontId="83" fillId="0" borderId="75" xfId="0" applyFont="1" applyBorder="1" applyAlignment="1">
      <alignment horizontal="center" wrapText="1"/>
    </xf>
    <xf numFmtId="0" fontId="83" fillId="0" borderId="76" xfId="0" applyFont="1" applyBorder="1" applyAlignment="1">
      <alignment horizontal="center" wrapText="1"/>
    </xf>
    <xf numFmtId="0" fontId="82" fillId="0" borderId="0" xfId="0" applyFont="1" applyAlignment="1">
      <alignment horizontal="center"/>
    </xf>
    <xf numFmtId="0" fontId="55" fillId="0" borderId="0" xfId="0" applyFont="1" applyAlignment="1">
      <alignment horizontal="center"/>
    </xf>
    <xf numFmtId="0" fontId="83" fillId="12" borderId="70" xfId="0" applyFont="1" applyFill="1" applyBorder="1" applyAlignment="1">
      <alignment horizontal="center" vertical="center" wrapText="1"/>
    </xf>
    <xf numFmtId="0" fontId="83" fillId="12" borderId="71" xfId="0" applyFont="1" applyFill="1" applyBorder="1" applyAlignment="1">
      <alignment horizontal="center" vertical="center" wrapText="1"/>
    </xf>
    <xf numFmtId="49" fontId="83" fillId="18" borderId="45" xfId="17" applyNumberFormat="1" applyFont="1" applyFill="1" applyBorder="1" applyAlignment="1">
      <alignment horizontal="center" vertical="center" wrapText="1"/>
    </xf>
    <xf numFmtId="49" fontId="83" fillId="18" borderId="46" xfId="17" applyNumberFormat="1" applyFont="1" applyFill="1" applyBorder="1" applyAlignment="1">
      <alignment horizontal="center" vertical="center" wrapText="1"/>
    </xf>
    <xf numFmtId="0" fontId="39" fillId="0" borderId="0" xfId="22" applyFont="1" applyAlignment="1">
      <alignment horizontal="center" vertical="center"/>
    </xf>
    <xf numFmtId="0" fontId="39" fillId="0" borderId="0" xfId="22" applyFont="1" applyAlignment="1">
      <alignment horizontal="center" vertical="center" wrapText="1"/>
    </xf>
    <xf numFmtId="0" fontId="82" fillId="17" borderId="45" xfId="22" applyFont="1" applyFill="1" applyBorder="1" applyAlignment="1">
      <alignment horizontal="center" vertical="center" wrapText="1"/>
    </xf>
    <xf numFmtId="0" fontId="82" fillId="17" borderId="46" xfId="22" applyFont="1" applyFill="1" applyBorder="1" applyAlignment="1">
      <alignment horizontal="center" vertical="center" wrapText="1"/>
    </xf>
    <xf numFmtId="0" fontId="82" fillId="17" borderId="46" xfId="17" applyFont="1" applyFill="1" applyBorder="1" applyAlignment="1">
      <alignment horizontal="center" vertical="center" wrapText="1"/>
    </xf>
    <xf numFmtId="0" fontId="82" fillId="17" borderId="47" xfId="17" applyFont="1" applyFill="1" applyBorder="1" applyAlignment="1">
      <alignment horizontal="center" vertical="center" wrapText="1"/>
    </xf>
    <xf numFmtId="0" fontId="96" fillId="0" borderId="0" xfId="22" applyFont="1" applyAlignment="1">
      <alignment horizontal="left"/>
    </xf>
    <xf numFmtId="0" fontId="85" fillId="0" borderId="55" xfId="22" applyFont="1" applyBorder="1" applyAlignment="1">
      <alignment horizontal="center" vertical="center" wrapText="1"/>
    </xf>
    <xf numFmtId="0" fontId="85" fillId="0" borderId="48" xfId="22" applyFont="1" applyBorder="1" applyAlignment="1">
      <alignment horizontal="center" vertical="center" wrapText="1"/>
    </xf>
    <xf numFmtId="0" fontId="85" fillId="0" borderId="59" xfId="22" applyFont="1" applyBorder="1" applyAlignment="1">
      <alignment horizontal="center" vertical="center" wrapText="1"/>
    </xf>
    <xf numFmtId="0" fontId="85" fillId="0" borderId="9" xfId="22" applyFont="1" applyBorder="1" applyAlignment="1">
      <alignment horizontal="center" vertical="center" wrapText="1"/>
    </xf>
    <xf numFmtId="0" fontId="85" fillId="6" borderId="56" xfId="22" applyFont="1" applyFill="1" applyBorder="1" applyAlignment="1">
      <alignment horizontal="center" vertical="center" wrapText="1"/>
    </xf>
    <xf numFmtId="0" fontId="85" fillId="6" borderId="57" xfId="22" applyFont="1" applyFill="1" applyBorder="1" applyAlignment="1">
      <alignment horizontal="center" vertical="center" wrapText="1"/>
    </xf>
    <xf numFmtId="0" fontId="85" fillId="6" borderId="58" xfId="22" applyFont="1" applyFill="1" applyBorder="1" applyAlignment="1">
      <alignment horizontal="center" vertical="center" wrapText="1"/>
    </xf>
    <xf numFmtId="0" fontId="85" fillId="8" borderId="56" xfId="22" applyFont="1" applyFill="1" applyBorder="1" applyAlignment="1">
      <alignment horizontal="center" vertical="center" wrapText="1"/>
    </xf>
    <xf numFmtId="0" fontId="85" fillId="8" borderId="57" xfId="22" applyFont="1" applyFill="1" applyBorder="1" applyAlignment="1">
      <alignment horizontal="center" vertical="center" wrapText="1"/>
    </xf>
    <xf numFmtId="0" fontId="85" fillId="8" borderId="58" xfId="22" applyFont="1" applyFill="1" applyBorder="1" applyAlignment="1">
      <alignment horizontal="center" vertical="center" wrapText="1"/>
    </xf>
    <xf numFmtId="0" fontId="85" fillId="19" borderId="56" xfId="22" applyFont="1" applyFill="1" applyBorder="1" applyAlignment="1">
      <alignment horizontal="center" vertical="center" wrapText="1"/>
    </xf>
    <xf numFmtId="0" fontId="85" fillId="19" borderId="57" xfId="22" applyFont="1" applyFill="1" applyBorder="1" applyAlignment="1">
      <alignment horizontal="center" vertical="center" wrapText="1"/>
    </xf>
    <xf numFmtId="0" fontId="85" fillId="19" borderId="58" xfId="22" applyFont="1" applyFill="1" applyBorder="1" applyAlignment="1">
      <alignment horizontal="center" vertical="center" wrapText="1"/>
    </xf>
    <xf numFmtId="0" fontId="85" fillId="10" borderId="56" xfId="22" applyFont="1" applyFill="1" applyBorder="1" applyAlignment="1">
      <alignment horizontal="center" vertical="center" wrapText="1"/>
    </xf>
    <xf numFmtId="0" fontId="85" fillId="10" borderId="57" xfId="22" applyFont="1" applyFill="1" applyBorder="1" applyAlignment="1">
      <alignment horizontal="center" vertical="center" wrapText="1"/>
    </xf>
    <xf numFmtId="0" fontId="85" fillId="10" borderId="58" xfId="22" applyFont="1" applyFill="1" applyBorder="1" applyAlignment="1">
      <alignment horizontal="center" vertical="center" wrapText="1"/>
    </xf>
    <xf numFmtId="0" fontId="85" fillId="5" borderId="56" xfId="24" applyNumberFormat="1" applyFont="1" applyFill="1" applyBorder="1" applyAlignment="1">
      <alignment horizontal="center" vertical="center" wrapText="1"/>
    </xf>
    <xf numFmtId="0" fontId="85" fillId="5" borderId="57" xfId="24" applyNumberFormat="1" applyFont="1" applyFill="1" applyBorder="1" applyAlignment="1">
      <alignment horizontal="center" vertical="center" wrapText="1"/>
    </xf>
    <xf numFmtId="0" fontId="85" fillId="5" borderId="58" xfId="24" applyNumberFormat="1" applyFont="1" applyFill="1" applyBorder="1" applyAlignment="1">
      <alignment horizontal="center" vertical="center" wrapText="1"/>
    </xf>
    <xf numFmtId="0" fontId="92" fillId="17" borderId="60" xfId="0" applyFont="1" applyFill="1" applyBorder="1" applyAlignment="1">
      <alignment horizontal="left" vertical="center" wrapText="1" readingOrder="1"/>
    </xf>
    <xf numFmtId="0" fontId="92" fillId="17" borderId="61" xfId="0" applyFont="1" applyFill="1" applyBorder="1" applyAlignment="1">
      <alignment horizontal="left" vertical="center" wrapText="1" readingOrder="1"/>
    </xf>
    <xf numFmtId="0" fontId="92" fillId="17" borderId="101" xfId="0" applyFont="1" applyFill="1" applyBorder="1" applyAlignment="1">
      <alignment horizontal="left" vertical="center" wrapText="1" readingOrder="1"/>
    </xf>
    <xf numFmtId="0" fontId="90" fillId="0" borderId="0" xfId="0" applyFont="1" applyAlignment="1">
      <alignment horizontal="center"/>
    </xf>
    <xf numFmtId="0" fontId="92" fillId="16" borderId="55" xfId="0" applyFont="1" applyFill="1" applyBorder="1" applyAlignment="1">
      <alignment horizontal="center" vertical="center" wrapText="1" readingOrder="1"/>
    </xf>
    <xf numFmtId="0" fontId="92" fillId="16" borderId="99" xfId="0" applyFont="1" applyFill="1" applyBorder="1" applyAlignment="1">
      <alignment horizontal="center" vertical="center" wrapText="1" readingOrder="1"/>
    </xf>
    <xf numFmtId="0" fontId="92" fillId="16" borderId="66" xfId="0" applyFont="1" applyFill="1" applyBorder="1" applyAlignment="1">
      <alignment horizontal="center" vertical="center" wrapText="1" readingOrder="1"/>
    </xf>
    <xf numFmtId="0" fontId="92" fillId="16" borderId="59" xfId="0" applyFont="1" applyFill="1" applyBorder="1" applyAlignment="1">
      <alignment horizontal="center" vertical="center" wrapText="1" readingOrder="1"/>
    </xf>
    <xf numFmtId="0" fontId="92" fillId="16" borderId="5" xfId="0" applyFont="1" applyFill="1" applyBorder="1" applyAlignment="1">
      <alignment horizontal="center" vertical="center" wrapText="1" readingOrder="1"/>
    </xf>
    <xf numFmtId="0" fontId="92" fillId="16" borderId="67" xfId="0" applyFont="1" applyFill="1" applyBorder="1" applyAlignment="1">
      <alignment horizontal="center" vertical="center" wrapText="1" readingOrder="1"/>
    </xf>
    <xf numFmtId="0" fontId="92" fillId="16" borderId="60" xfId="0" applyFont="1" applyFill="1" applyBorder="1" applyAlignment="1">
      <alignment horizontal="center" vertical="center" wrapText="1" readingOrder="1"/>
    </xf>
    <xf numFmtId="0" fontId="92" fillId="16" borderId="98" xfId="0" applyFont="1" applyFill="1" applyBorder="1" applyAlignment="1">
      <alignment horizontal="center" vertical="center" wrapText="1" readingOrder="1"/>
    </xf>
    <xf numFmtId="0" fontId="92" fillId="16" borderId="62" xfId="0" applyFont="1" applyFill="1" applyBorder="1" applyAlignment="1">
      <alignment horizontal="center" vertical="center" wrapText="1" readingOrder="1"/>
    </xf>
    <xf numFmtId="0" fontId="92" fillId="16" borderId="100" xfId="0" applyFont="1" applyFill="1" applyBorder="1" applyAlignment="1">
      <alignment horizontal="center" vertical="center" wrapText="1" readingOrder="1"/>
    </xf>
    <xf numFmtId="0" fontId="92" fillId="16" borderId="68" xfId="0" applyFont="1" applyFill="1" applyBorder="1" applyAlignment="1">
      <alignment horizontal="center" vertical="center" wrapText="1" readingOrder="1"/>
    </xf>
    <xf numFmtId="0" fontId="92" fillId="16" borderId="6" xfId="0" applyFont="1" applyFill="1" applyBorder="1" applyAlignment="1">
      <alignment horizontal="center" vertical="center" wrapText="1" readingOrder="1"/>
    </xf>
    <xf numFmtId="0" fontId="92" fillId="16" borderId="8" xfId="0" applyFont="1" applyFill="1" applyBorder="1" applyAlignment="1">
      <alignment horizontal="center" vertical="center" wrapText="1" readingOrder="1"/>
    </xf>
    <xf numFmtId="0" fontId="0" fillId="2" borderId="0" xfId="0" applyFill="1" applyAlignment="1">
      <alignment horizontal="center"/>
    </xf>
    <xf numFmtId="0" fontId="0" fillId="2" borderId="13" xfId="0" applyFill="1" applyBorder="1" applyAlignment="1">
      <alignment horizontal="center"/>
    </xf>
    <xf numFmtId="0" fontId="103" fillId="9" borderId="1"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81" fillId="0" borderId="2" xfId="0" applyFont="1" applyBorder="1" applyAlignment="1">
      <alignment horizontal="center" vertical="center" wrapText="1"/>
    </xf>
    <xf numFmtId="0" fontId="81" fillId="0" borderId="9" xfId="0" applyFont="1" applyBorder="1" applyAlignment="1">
      <alignment horizontal="center" vertical="center" wrapText="1"/>
    </xf>
  </cellXfs>
  <cellStyles count="26">
    <cellStyle name="Comma" xfId="16" builtinId="3"/>
    <cellStyle name="Comma [0] 2" xfId="14"/>
    <cellStyle name="Comma [0] 3" xfId="3"/>
    <cellStyle name="Comma [0] 4" xfId="23"/>
    <cellStyle name="Comma 2" xfId="24"/>
    <cellStyle name="Comma 3" xfId="25"/>
    <cellStyle name="Comma 5" xfId="1"/>
    <cellStyle name="Normal" xfId="0" builtinId="0"/>
    <cellStyle name="Normal 104" xfId="2"/>
    <cellStyle name="Normal 2" xfId="12"/>
    <cellStyle name="Normal 2 2" xfId="13"/>
    <cellStyle name="Normal 3" xfId="22"/>
    <cellStyle name="Normal 5 3" xfId="15"/>
    <cellStyle name="S10" xfId="4"/>
    <cellStyle name="S11" xfId="5"/>
    <cellStyle name="S12" xfId="6"/>
    <cellStyle name="S13" xfId="7"/>
    <cellStyle name="S15" xfId="8"/>
    <cellStyle name="S16" xfId="9"/>
    <cellStyle name="S17" xfId="10"/>
    <cellStyle name="S2" xfId="17"/>
    <cellStyle name="S23" xfId="11"/>
    <cellStyle name="S3" xfId="18"/>
    <cellStyle name="S4" xfId="20"/>
    <cellStyle name="S5" xfId="19"/>
    <cellStyle name="S6" xfId="21"/>
  </cellStyles>
  <dxfs count="0"/>
  <tableStyles count="0" defaultTableStyle="TableStyleMedium2" defaultPivotStyle="PivotStyleLight16"/>
  <colors>
    <mruColors>
      <color rgb="FFFF99FF"/>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276</xdr:row>
      <xdr:rowOff>0</xdr:rowOff>
    </xdr:from>
    <xdr:to>
      <xdr:col>20</xdr:col>
      <xdr:colOff>304800</xdr:colOff>
      <xdr:row>277</xdr:row>
      <xdr:rowOff>120650</xdr:rowOff>
    </xdr:to>
    <xdr:sp macro="" textlink="">
      <xdr:nvSpPr>
        <xdr:cNvPr id="2" name="AutoShape 4">
          <a:extLst>
            <a:ext uri="{FF2B5EF4-FFF2-40B4-BE49-F238E27FC236}">
              <a16:creationId xmlns:a16="http://schemas.microsoft.com/office/drawing/2014/main" id="{6D5BCECF-2F13-4D67-B187-02806201DBB7}"/>
            </a:ext>
          </a:extLst>
        </xdr:cNvPr>
        <xdr:cNvSpPr>
          <a:spLocks noChangeAspect="1" noChangeArrowheads="1"/>
        </xdr:cNvSpPr>
      </xdr:nvSpPr>
      <xdr:spPr bwMode="auto">
        <a:xfrm>
          <a:off x="9798050" y="56940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172357</xdr:colOff>
      <xdr:row>0</xdr:row>
      <xdr:rowOff>163286</xdr:rowOff>
    </xdr:from>
    <xdr:to>
      <xdr:col>1</xdr:col>
      <xdr:colOff>1779579</xdr:colOff>
      <xdr:row>2</xdr:row>
      <xdr:rowOff>45357</xdr:rowOff>
    </xdr:to>
    <xdr:sp macro="" textlink="">
      <xdr:nvSpPr>
        <xdr:cNvPr id="2" name="Rectangle 1">
          <a:extLst>
            <a:ext uri="{FF2B5EF4-FFF2-40B4-BE49-F238E27FC236}">
              <a16:creationId xmlns:a16="http://schemas.microsoft.com/office/drawing/2014/main" id="{9F40E624-ED37-458D-BF56-0EED707A5BAC}"/>
            </a:ext>
          </a:extLst>
        </xdr:cNvPr>
        <xdr:cNvSpPr/>
      </xdr:nvSpPr>
      <xdr:spPr>
        <a:xfrm>
          <a:off x="172357" y="163286"/>
          <a:ext cx="2042651" cy="444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400" b="1">
              <a:solidFill>
                <a:schemeClr val="tx1"/>
              </a:solidFill>
              <a:latin typeface="Agency FB" pitchFamily="34" charset="0"/>
              <a:cs typeface="Times New Roman" pitchFamily="18" charset="0"/>
            </a:rPr>
            <a:t>FORMAT </a:t>
          </a:r>
          <a:r>
            <a:rPr lang="en-US" sz="2400" b="1">
              <a:solidFill>
                <a:schemeClr val="tx1"/>
              </a:solidFill>
              <a:latin typeface="Agency FB" pitchFamily="34" charset="0"/>
              <a:cs typeface="Times New Roman" pitchFamily="18" charset="0"/>
            </a:rPr>
            <a:t> 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0</xdr:row>
      <xdr:rowOff>161925</xdr:rowOff>
    </xdr:from>
    <xdr:to>
      <xdr:col>3</xdr:col>
      <xdr:colOff>242426</xdr:colOff>
      <xdr:row>2</xdr:row>
      <xdr:rowOff>28575</xdr:rowOff>
    </xdr:to>
    <xdr:sp macro="" textlink="">
      <xdr:nvSpPr>
        <xdr:cNvPr id="2" name="Rectangle 1">
          <a:extLst>
            <a:ext uri="{FF2B5EF4-FFF2-40B4-BE49-F238E27FC236}">
              <a16:creationId xmlns:a16="http://schemas.microsoft.com/office/drawing/2014/main" id="{C87CD544-DC03-4915-AFDF-696F66046BCC}"/>
            </a:ext>
          </a:extLst>
        </xdr:cNvPr>
        <xdr:cNvSpPr/>
      </xdr:nvSpPr>
      <xdr:spPr>
        <a:xfrm>
          <a:off x="336550" y="161925"/>
          <a:ext cx="2433176" cy="2984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400" b="1">
              <a:solidFill>
                <a:schemeClr val="tx1"/>
              </a:solidFill>
              <a:latin typeface="Agency FB" pitchFamily="34" charset="0"/>
              <a:cs typeface="Times New Roman" pitchFamily="18" charset="0"/>
            </a:rPr>
            <a:t>FORMAT </a:t>
          </a:r>
          <a:r>
            <a:rPr lang="en-US" sz="2400" b="1">
              <a:solidFill>
                <a:schemeClr val="tx1"/>
              </a:solidFill>
              <a:latin typeface="Agency FB" pitchFamily="34" charset="0"/>
              <a:cs typeface="Times New Roman" pitchFamily="18" charset="0"/>
            </a:rPr>
            <a:t> 3</a:t>
          </a:r>
          <a:r>
            <a:rPr lang="id-ID" sz="2400" b="1">
              <a:solidFill>
                <a:schemeClr val="tx1"/>
              </a:solidFill>
              <a:latin typeface="Agency FB" pitchFamily="34" charset="0"/>
              <a:cs typeface="Times New Roman" pitchFamily="18" charset="0"/>
            </a:rPr>
            <a:t>a</a:t>
          </a:r>
          <a:endParaRPr lang="en-US" sz="2400" b="1">
            <a:solidFill>
              <a:schemeClr val="tx1"/>
            </a:solidFill>
            <a:latin typeface="Agency FB" pitchFamily="34"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0</xdr:row>
      <xdr:rowOff>180974</xdr:rowOff>
    </xdr:from>
    <xdr:to>
      <xdr:col>3</xdr:col>
      <xdr:colOff>213851</xdr:colOff>
      <xdr:row>2</xdr:row>
      <xdr:rowOff>133349</xdr:rowOff>
    </xdr:to>
    <xdr:sp macro="" textlink="">
      <xdr:nvSpPr>
        <xdr:cNvPr id="3" name="Rectangle 2">
          <a:extLst>
            <a:ext uri="{FF2B5EF4-FFF2-40B4-BE49-F238E27FC236}">
              <a16:creationId xmlns:a16="http://schemas.microsoft.com/office/drawing/2014/main" id="{5BCCCC25-A519-406C-B04C-DF8DECFA51AA}"/>
            </a:ext>
          </a:extLst>
        </xdr:cNvPr>
        <xdr:cNvSpPr/>
      </xdr:nvSpPr>
      <xdr:spPr>
        <a:xfrm>
          <a:off x="209550" y="180974"/>
          <a:ext cx="2042651" cy="320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400" b="1">
              <a:solidFill>
                <a:schemeClr val="tx1"/>
              </a:solidFill>
              <a:latin typeface="Agency FB" pitchFamily="34" charset="0"/>
              <a:cs typeface="Times New Roman" pitchFamily="18" charset="0"/>
            </a:rPr>
            <a:t>FORMAT </a:t>
          </a:r>
          <a:r>
            <a:rPr lang="en-US" sz="2400" b="1">
              <a:solidFill>
                <a:schemeClr val="tx1"/>
              </a:solidFill>
              <a:latin typeface="Agency FB" pitchFamily="34" charset="0"/>
              <a:cs typeface="Times New Roman" pitchFamily="18" charset="0"/>
            </a:rPr>
            <a:t> 3</a:t>
          </a:r>
          <a:r>
            <a:rPr lang="id-ID" sz="2400" b="1">
              <a:solidFill>
                <a:schemeClr val="tx1"/>
              </a:solidFill>
              <a:latin typeface="Agency FB" pitchFamily="34" charset="0"/>
              <a:cs typeface="Times New Roman" pitchFamily="18" charset="0"/>
            </a:rPr>
            <a:t>b</a:t>
          </a:r>
          <a:endParaRPr lang="en-US" sz="2400" b="1">
            <a:solidFill>
              <a:schemeClr val="tx1"/>
            </a:solidFill>
            <a:latin typeface="Agency FB" pitchFamily="34" charset="0"/>
            <a:cs typeface="Times New Roman"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0</xdr:row>
      <xdr:rowOff>190500</xdr:rowOff>
    </xdr:from>
    <xdr:to>
      <xdr:col>2</xdr:col>
      <xdr:colOff>782014</xdr:colOff>
      <xdr:row>2</xdr:row>
      <xdr:rowOff>97914</xdr:rowOff>
    </xdr:to>
    <xdr:sp macro="" textlink="">
      <xdr:nvSpPr>
        <xdr:cNvPr id="2" name="Rectangle 1">
          <a:extLst>
            <a:ext uri="{FF2B5EF4-FFF2-40B4-BE49-F238E27FC236}">
              <a16:creationId xmlns:a16="http://schemas.microsoft.com/office/drawing/2014/main" id="{D5EE4B65-643F-48CB-BF15-E7D6EA550037}"/>
            </a:ext>
          </a:extLst>
        </xdr:cNvPr>
        <xdr:cNvSpPr/>
      </xdr:nvSpPr>
      <xdr:spPr>
        <a:xfrm>
          <a:off x="571500" y="184150"/>
          <a:ext cx="1607514" cy="2820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a:t>
          </a:r>
          <a:r>
            <a:rPr lang="id-ID" sz="2000">
              <a:solidFill>
                <a:schemeClr val="tx1"/>
              </a:solidFill>
              <a:latin typeface="Agency FB" pitchFamily="34" charset="0"/>
            </a:rPr>
            <a:t>6</a:t>
          </a:r>
          <a:endParaRPr lang="en-US" sz="2000">
            <a:solidFill>
              <a:schemeClr val="tx1"/>
            </a:solidFill>
            <a:latin typeface="Agency FB"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123825</xdr:colOff>
      <xdr:row>0</xdr:row>
      <xdr:rowOff>152400</xdr:rowOff>
    </xdr:from>
    <xdr:to>
      <xdr:col>5</xdr:col>
      <xdr:colOff>965106</xdr:colOff>
      <xdr:row>2</xdr:row>
      <xdr:rowOff>83097</xdr:rowOff>
    </xdr:to>
    <xdr:sp macro="" textlink="">
      <xdr:nvSpPr>
        <xdr:cNvPr id="2" name="Rectangle 1">
          <a:extLst>
            <a:ext uri="{FF2B5EF4-FFF2-40B4-BE49-F238E27FC236}">
              <a16:creationId xmlns:a16="http://schemas.microsoft.com/office/drawing/2014/main" id="{2217E11B-62F8-4C6E-A3EB-25C1C8899DA4}"/>
            </a:ext>
          </a:extLst>
        </xdr:cNvPr>
        <xdr:cNvSpPr/>
      </xdr:nvSpPr>
      <xdr:spPr>
        <a:xfrm>
          <a:off x="282575" y="152400"/>
          <a:ext cx="1596931" cy="3243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7</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104774</xdr:colOff>
      <xdr:row>0</xdr:row>
      <xdr:rowOff>180975</xdr:rowOff>
    </xdr:from>
    <xdr:to>
      <xdr:col>12</xdr:col>
      <xdr:colOff>438149</xdr:colOff>
      <xdr:row>2</xdr:row>
      <xdr:rowOff>114300</xdr:rowOff>
    </xdr:to>
    <xdr:sp macro="" textlink="">
      <xdr:nvSpPr>
        <xdr:cNvPr id="2" name="Rectangle 1">
          <a:extLst>
            <a:ext uri="{FF2B5EF4-FFF2-40B4-BE49-F238E27FC236}">
              <a16:creationId xmlns:a16="http://schemas.microsoft.com/office/drawing/2014/main" id="{7702CC5E-6A4E-456A-A167-EBD57B4B2C9E}"/>
            </a:ext>
          </a:extLst>
        </xdr:cNvPr>
        <xdr:cNvSpPr/>
      </xdr:nvSpPr>
      <xdr:spPr>
        <a:xfrm>
          <a:off x="10360024" y="180975"/>
          <a:ext cx="2416175" cy="3270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000">
              <a:solidFill>
                <a:schemeClr val="tx1"/>
              </a:solidFill>
              <a:latin typeface="Agency FB" pitchFamily="34" charset="0"/>
            </a:rPr>
            <a:t>FORMAT </a:t>
          </a:r>
          <a:r>
            <a:rPr lang="en-US" sz="2000">
              <a:solidFill>
                <a:schemeClr val="tx1"/>
              </a:solidFill>
              <a:latin typeface="Agency FB" pitchFamily="34" charset="0"/>
            </a:rPr>
            <a:t> </a:t>
          </a:r>
          <a:r>
            <a:rPr lang="id-ID" sz="2000">
              <a:solidFill>
                <a:schemeClr val="tx1"/>
              </a:solidFill>
              <a:latin typeface="Agency FB" pitchFamily="34" charset="0"/>
            </a:rPr>
            <a:t>8</a:t>
          </a:r>
          <a:endParaRPr lang="en-US" sz="2000">
            <a:solidFill>
              <a:schemeClr val="tx1"/>
            </a:solidFill>
            <a:latin typeface="Agency FB"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220737</xdr:colOff>
      <xdr:row>0</xdr:row>
      <xdr:rowOff>90714</xdr:rowOff>
    </xdr:from>
    <xdr:to>
      <xdr:col>1</xdr:col>
      <xdr:colOff>1161142</xdr:colOff>
      <xdr:row>1</xdr:row>
      <xdr:rowOff>217714</xdr:rowOff>
    </xdr:to>
    <xdr:sp macro="" textlink="">
      <xdr:nvSpPr>
        <xdr:cNvPr id="2" name="Rectangle 1">
          <a:extLst>
            <a:ext uri="{FF2B5EF4-FFF2-40B4-BE49-F238E27FC236}">
              <a16:creationId xmlns:a16="http://schemas.microsoft.com/office/drawing/2014/main" id="{55E3D12E-8B52-4841-A9A2-82BA61B8C6B9}"/>
            </a:ext>
          </a:extLst>
        </xdr:cNvPr>
        <xdr:cNvSpPr/>
      </xdr:nvSpPr>
      <xdr:spPr>
        <a:xfrm>
          <a:off x="220737" y="90714"/>
          <a:ext cx="2077055" cy="3238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2400" b="1">
              <a:solidFill>
                <a:schemeClr val="tx1"/>
              </a:solidFill>
              <a:latin typeface="Agency FB" pitchFamily="34" charset="0"/>
              <a:cs typeface="Times New Roman" pitchFamily="18" charset="0"/>
            </a:rPr>
            <a:t>FORMAT </a:t>
          </a:r>
          <a:r>
            <a:rPr lang="en-US" sz="2400" b="1">
              <a:solidFill>
                <a:schemeClr val="tx1"/>
              </a:solidFill>
              <a:latin typeface="Agency FB" pitchFamily="34" charset="0"/>
              <a:cs typeface="Times New Roman" pitchFamily="18" charset="0"/>
            </a:rPr>
            <a:t>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A283"/>
  <sheetViews>
    <sheetView topLeftCell="A7" workbookViewId="0">
      <selection activeCell="T14" sqref="T14"/>
    </sheetView>
  </sheetViews>
  <sheetFormatPr defaultRowHeight="15"/>
  <cols>
    <col min="1" max="1" width="3.5703125" style="8" customWidth="1"/>
    <col min="2" max="5" width="3.7109375" style="29" customWidth="1"/>
    <col min="6" max="6" width="4.7109375" style="29" customWidth="1"/>
    <col min="7" max="7" width="46.7109375" style="26" customWidth="1"/>
    <col min="8" max="8" width="18" style="26" hidden="1" customWidth="1"/>
    <col min="9" max="9" width="15.7109375" style="26" customWidth="1"/>
    <col min="10" max="12" width="15.7109375" style="26" hidden="1" customWidth="1"/>
    <col min="13" max="13" width="15.7109375" style="23" hidden="1" customWidth="1"/>
    <col min="14" max="14" width="15.7109375" style="23" customWidth="1"/>
    <col min="15" max="15" width="7.42578125" style="127" customWidth="1"/>
    <col min="16" max="16" width="15.7109375" style="23" hidden="1" customWidth="1"/>
    <col min="17" max="17" width="15.7109375" style="26" customWidth="1"/>
    <col min="18" max="19" width="15.7109375" style="23" hidden="1" customWidth="1"/>
    <col min="20" max="20" width="15.7109375" style="26" customWidth="1"/>
    <col min="21" max="21" width="7.5703125" style="26" customWidth="1"/>
    <col min="22" max="22" width="15.7109375" style="26" customWidth="1"/>
    <col min="23" max="23" width="7.28515625" style="26" customWidth="1"/>
    <col min="24" max="24" width="15.7109375" style="26" customWidth="1"/>
    <col min="25" max="25" width="8.85546875" style="26" customWidth="1"/>
    <col min="26" max="53" width="8.7109375" style="367"/>
  </cols>
  <sheetData>
    <row r="1" spans="1:53" ht="14.1" customHeight="1">
      <c r="B1" s="610" t="s">
        <v>727</v>
      </c>
      <c r="C1" s="610"/>
      <c r="D1" s="610"/>
      <c r="E1" s="610"/>
      <c r="F1" s="610"/>
      <c r="G1" s="610"/>
      <c r="H1" s="610"/>
      <c r="I1" s="610"/>
      <c r="J1" s="610"/>
      <c r="K1" s="610"/>
      <c r="L1" s="610"/>
      <c r="M1" s="610"/>
      <c r="N1" s="610"/>
      <c r="O1" s="610"/>
      <c r="P1" s="610"/>
      <c r="Q1" s="610"/>
      <c r="R1" s="610"/>
      <c r="S1" s="610"/>
      <c r="T1" s="610"/>
      <c r="U1" s="610"/>
      <c r="V1" s="610"/>
      <c r="W1" s="610"/>
      <c r="X1" s="610"/>
      <c r="Y1" s="610"/>
    </row>
    <row r="2" spans="1:53" ht="14.1" customHeight="1">
      <c r="B2" s="438"/>
      <c r="C2" s="438"/>
      <c r="D2" s="438"/>
      <c r="E2" s="438"/>
      <c r="F2" s="438"/>
      <c r="G2" s="438"/>
      <c r="H2" s="438"/>
      <c r="I2" s="438"/>
      <c r="J2" s="438"/>
      <c r="K2" s="438"/>
      <c r="L2" s="438"/>
      <c r="M2" s="8"/>
      <c r="N2" s="8" t="s">
        <v>48</v>
      </c>
      <c r="O2" s="439"/>
      <c r="P2" s="8"/>
      <c r="Q2" s="438"/>
      <c r="R2" s="8"/>
      <c r="S2" s="8"/>
      <c r="T2" s="438"/>
      <c r="U2" s="438"/>
      <c r="V2" s="438"/>
      <c r="W2" s="438"/>
      <c r="X2" s="438"/>
      <c r="Y2" s="438"/>
    </row>
    <row r="3" spans="1:53" ht="14.1" customHeight="1">
      <c r="B3" s="610" t="s">
        <v>728</v>
      </c>
      <c r="C3" s="610"/>
      <c r="D3" s="610"/>
      <c r="E3" s="610"/>
      <c r="F3" s="610"/>
      <c r="G3" s="610"/>
      <c r="H3" s="610"/>
      <c r="I3" s="610"/>
      <c r="J3" s="610"/>
      <c r="K3" s="610"/>
      <c r="L3" s="610"/>
      <c r="M3" s="610"/>
      <c r="N3" s="610"/>
      <c r="O3" s="610"/>
      <c r="P3" s="610"/>
      <c r="Q3" s="610"/>
      <c r="R3" s="610"/>
      <c r="S3" s="610"/>
      <c r="T3" s="610"/>
      <c r="U3" s="610"/>
      <c r="V3" s="610"/>
      <c r="W3" s="610"/>
      <c r="X3" s="610"/>
      <c r="Y3" s="610"/>
    </row>
    <row r="4" spans="1:53" ht="2.1" customHeight="1">
      <c r="G4" s="9"/>
      <c r="H4" s="9"/>
      <c r="I4" s="9"/>
      <c r="J4" s="9"/>
      <c r="K4" s="9"/>
      <c r="L4" s="9"/>
      <c r="M4" s="10"/>
      <c r="N4" s="10" t="s">
        <v>49</v>
      </c>
      <c r="P4" s="10"/>
      <c r="Q4" s="9"/>
      <c r="R4" s="10"/>
      <c r="S4" s="10"/>
      <c r="T4" s="9"/>
      <c r="U4" s="9"/>
      <c r="V4" s="9"/>
      <c r="W4" s="9"/>
      <c r="X4" s="9"/>
      <c r="Y4" s="9"/>
    </row>
    <row r="5" spans="1:53" ht="36" customHeight="1">
      <c r="A5" s="440"/>
      <c r="B5" s="611" t="s">
        <v>50</v>
      </c>
      <c r="C5" s="612"/>
      <c r="D5" s="612"/>
      <c r="E5" s="612"/>
      <c r="F5" s="613"/>
      <c r="G5" s="614" t="s">
        <v>51</v>
      </c>
      <c r="H5" s="616" t="s">
        <v>305</v>
      </c>
      <c r="I5" s="618" t="s">
        <v>729</v>
      </c>
      <c r="J5" s="620" t="s">
        <v>52</v>
      </c>
      <c r="K5" s="620" t="s">
        <v>53</v>
      </c>
      <c r="L5" s="620" t="s">
        <v>54</v>
      </c>
      <c r="M5" s="620" t="s">
        <v>55</v>
      </c>
      <c r="N5" s="624" t="s">
        <v>730</v>
      </c>
      <c r="O5" s="624"/>
      <c r="P5" s="441" t="s">
        <v>731</v>
      </c>
      <c r="Q5" s="441" t="s">
        <v>732</v>
      </c>
      <c r="R5" s="441" t="s">
        <v>733</v>
      </c>
      <c r="S5" s="441" t="s">
        <v>734</v>
      </c>
      <c r="T5" s="625" t="s">
        <v>735</v>
      </c>
      <c r="U5" s="625"/>
      <c r="V5" s="625" t="s">
        <v>56</v>
      </c>
      <c r="W5" s="625"/>
      <c r="X5" s="625" t="s">
        <v>736</v>
      </c>
      <c r="Y5" s="625"/>
    </row>
    <row r="6" spans="1:53" ht="21.95" customHeight="1">
      <c r="A6" s="440"/>
      <c r="B6" s="443" t="s">
        <v>57</v>
      </c>
      <c r="C6" s="444" t="s">
        <v>58</v>
      </c>
      <c r="D6" s="444" t="s">
        <v>59</v>
      </c>
      <c r="E6" s="444" t="s">
        <v>60</v>
      </c>
      <c r="F6" s="444" t="s">
        <v>61</v>
      </c>
      <c r="G6" s="615"/>
      <c r="H6" s="617"/>
      <c r="I6" s="619"/>
      <c r="J6" s="621"/>
      <c r="K6" s="621"/>
      <c r="L6" s="621"/>
      <c r="M6" s="621"/>
      <c r="N6" s="441" t="s">
        <v>62</v>
      </c>
      <c r="O6" s="445" t="s">
        <v>63</v>
      </c>
      <c r="P6" s="441" t="s">
        <v>62</v>
      </c>
      <c r="Q6" s="441" t="s">
        <v>62</v>
      </c>
      <c r="R6" s="441" t="s">
        <v>62</v>
      </c>
      <c r="S6" s="441" t="s">
        <v>62</v>
      </c>
      <c r="T6" s="441" t="s">
        <v>62</v>
      </c>
      <c r="U6" s="441" t="s">
        <v>63</v>
      </c>
      <c r="V6" s="442" t="s">
        <v>64</v>
      </c>
      <c r="W6" s="446" t="s">
        <v>65</v>
      </c>
      <c r="X6" s="446" t="s">
        <v>64</v>
      </c>
      <c r="Y6" s="446" t="s">
        <v>65</v>
      </c>
    </row>
    <row r="7" spans="1:53" ht="15" customHeight="1">
      <c r="A7" s="447"/>
      <c r="B7" s="448">
        <v>1</v>
      </c>
      <c r="C7" s="448"/>
      <c r="D7" s="448"/>
      <c r="E7" s="448"/>
      <c r="F7" s="448"/>
      <c r="G7" s="626" t="s">
        <v>657</v>
      </c>
      <c r="H7" s="627"/>
      <c r="I7" s="627"/>
      <c r="J7" s="627"/>
      <c r="K7" s="627"/>
      <c r="L7" s="627"/>
      <c r="M7" s="627"/>
      <c r="N7" s="627"/>
      <c r="O7" s="627"/>
      <c r="P7" s="627"/>
      <c r="Q7" s="627"/>
      <c r="R7" s="627"/>
      <c r="S7" s="627"/>
      <c r="T7" s="627"/>
      <c r="U7" s="627"/>
      <c r="V7" s="627"/>
      <c r="W7" s="627"/>
      <c r="X7" s="627"/>
      <c r="Y7" s="628"/>
    </row>
    <row r="8" spans="1:53" ht="36">
      <c r="A8" s="440"/>
      <c r="B8" s="449">
        <v>1</v>
      </c>
      <c r="C8" s="450" t="s">
        <v>66</v>
      </c>
      <c r="D8" s="449"/>
      <c r="E8" s="450"/>
      <c r="F8" s="449"/>
      <c r="G8" s="451" t="s">
        <v>67</v>
      </c>
      <c r="H8" s="451"/>
      <c r="I8" s="452">
        <f>I9+I121</f>
        <v>4565959550</v>
      </c>
      <c r="J8" s="452">
        <f t="shared" ref="J8:M8" si="0">J9+J121</f>
        <v>1314084322</v>
      </c>
      <c r="K8" s="452">
        <f t="shared" si="0"/>
        <v>1400860238</v>
      </c>
      <c r="L8" s="452">
        <f t="shared" si="0"/>
        <v>1033231220</v>
      </c>
      <c r="M8" s="452">
        <f t="shared" si="0"/>
        <v>817783770</v>
      </c>
      <c r="N8" s="452">
        <f>N9+N121</f>
        <v>2714944560</v>
      </c>
      <c r="O8" s="453">
        <f t="shared" ref="O8:O72" si="1">N8/I8*100</f>
        <v>59.460547783433604</v>
      </c>
      <c r="P8" s="452">
        <f>P9+P121</f>
        <v>386388504</v>
      </c>
      <c r="Q8" s="452">
        <f t="shared" ref="Q8:T8" si="2">Q9+Q121</f>
        <v>952985708</v>
      </c>
      <c r="R8" s="452">
        <f t="shared" si="2"/>
        <v>0</v>
      </c>
      <c r="S8" s="452">
        <f t="shared" si="2"/>
        <v>0</v>
      </c>
      <c r="T8" s="452">
        <f t="shared" si="2"/>
        <v>1339374212</v>
      </c>
      <c r="U8" s="454">
        <f t="shared" ref="U8:U72" si="3">T8/N8*100</f>
        <v>49.333390881469782</v>
      </c>
      <c r="V8" s="452">
        <f t="shared" ref="V8:V73" si="4">N8-T8</f>
        <v>1375570348</v>
      </c>
      <c r="W8" s="454">
        <f t="shared" ref="W8:W71" si="5">V8/N8*100</f>
        <v>50.666609118530218</v>
      </c>
      <c r="X8" s="452">
        <f t="shared" ref="X8:X73" si="6">I8-T8</f>
        <v>3226585338</v>
      </c>
      <c r="Y8" s="454">
        <f t="shared" ref="Y8:Y72" si="7">X8/I8*100</f>
        <v>70.666095541735586</v>
      </c>
    </row>
    <row r="9" spans="1:53" ht="24">
      <c r="A9" s="455"/>
      <c r="B9" s="456">
        <v>1</v>
      </c>
      <c r="C9" s="456" t="s">
        <v>66</v>
      </c>
      <c r="D9" s="457" t="s">
        <v>68</v>
      </c>
      <c r="E9" s="456"/>
      <c r="F9" s="456"/>
      <c r="G9" s="458" t="s">
        <v>69</v>
      </c>
      <c r="H9" s="458"/>
      <c r="I9" s="459">
        <f>I10+I37+I57+I65+I69+I84+I96+I110</f>
        <v>3005325018</v>
      </c>
      <c r="J9" s="460">
        <f t="shared" ref="J9:M9" si="8">J10+J37+J57+J65+J69+J84+J96+J110</f>
        <v>1062228822</v>
      </c>
      <c r="K9" s="460">
        <f t="shared" si="8"/>
        <v>840092496</v>
      </c>
      <c r="L9" s="460">
        <f t="shared" si="8"/>
        <v>637338320</v>
      </c>
      <c r="M9" s="460">
        <f t="shared" si="8"/>
        <v>465665380</v>
      </c>
      <c r="N9" s="459">
        <f>N10+N37+N57+N65+N69+N84+N96+N110</f>
        <v>1902321318</v>
      </c>
      <c r="O9" s="128">
        <f t="shared" si="1"/>
        <v>63.298355638950731</v>
      </c>
      <c r="P9" s="459">
        <f>P10+P37+P57+P65+P69+P84+P96+P110</f>
        <v>314388504</v>
      </c>
      <c r="Q9" s="459">
        <f t="shared" ref="Q9:T9" si="9">Q10+Q37+Q57+Q65+Q69+Q84+Q96+Q110</f>
        <v>753843618</v>
      </c>
      <c r="R9" s="459">
        <f t="shared" si="9"/>
        <v>0</v>
      </c>
      <c r="S9" s="459">
        <f t="shared" si="9"/>
        <v>0</v>
      </c>
      <c r="T9" s="459">
        <f t="shared" si="9"/>
        <v>1068232122</v>
      </c>
      <c r="U9" s="11">
        <f t="shared" si="3"/>
        <v>56.154137152974911</v>
      </c>
      <c r="V9" s="129">
        <f t="shared" si="4"/>
        <v>834089196</v>
      </c>
      <c r="W9" s="11">
        <f t="shared" si="5"/>
        <v>43.845862847025089</v>
      </c>
      <c r="X9" s="129">
        <f t="shared" si="6"/>
        <v>1937092896</v>
      </c>
      <c r="Y9" s="11">
        <f t="shared" si="7"/>
        <v>64.455354558925777</v>
      </c>
    </row>
    <row r="10" spans="1:53" s="226" customFormat="1" ht="24">
      <c r="A10" s="447"/>
      <c r="B10" s="461">
        <v>1</v>
      </c>
      <c r="C10" s="461" t="s">
        <v>66</v>
      </c>
      <c r="D10" s="462" t="s">
        <v>68</v>
      </c>
      <c r="E10" s="462" t="s">
        <v>70</v>
      </c>
      <c r="F10" s="461"/>
      <c r="G10" s="463" t="s">
        <v>71</v>
      </c>
      <c r="H10" s="463"/>
      <c r="I10" s="464">
        <f>I11+I19+I25+I30</f>
        <v>78031920</v>
      </c>
      <c r="J10" s="464">
        <f t="shared" ref="J10:M10" si="10">J11+J19+J25+J30</f>
        <v>16720940</v>
      </c>
      <c r="K10" s="464">
        <f t="shared" si="10"/>
        <v>21359000</v>
      </c>
      <c r="L10" s="464">
        <f t="shared" si="10"/>
        <v>27152980</v>
      </c>
      <c r="M10" s="464">
        <f t="shared" si="10"/>
        <v>12799000</v>
      </c>
      <c r="N10" s="464">
        <f>N11+N19+N25+N30</f>
        <v>38079940</v>
      </c>
      <c r="O10" s="465">
        <f t="shared" si="1"/>
        <v>48.800465245504661</v>
      </c>
      <c r="P10" s="32">
        <f>P11+P19+P25+P30</f>
        <v>0</v>
      </c>
      <c r="Q10" s="466">
        <f t="shared" ref="Q10:T10" si="11">Q11+Q19+Q25+Q30</f>
        <v>10893600</v>
      </c>
      <c r="R10" s="32">
        <f t="shared" si="11"/>
        <v>0</v>
      </c>
      <c r="S10" s="32">
        <f t="shared" si="11"/>
        <v>0</v>
      </c>
      <c r="T10" s="32">
        <f t="shared" si="11"/>
        <v>10893600</v>
      </c>
      <c r="U10" s="466">
        <f t="shared" si="3"/>
        <v>28.607187931493588</v>
      </c>
      <c r="V10" s="466">
        <f t="shared" si="4"/>
        <v>27186340</v>
      </c>
      <c r="W10" s="466">
        <f t="shared" si="5"/>
        <v>71.392812068506402</v>
      </c>
      <c r="X10" s="466">
        <f t="shared" si="6"/>
        <v>67138320</v>
      </c>
      <c r="Y10" s="466">
        <f t="shared" si="7"/>
        <v>86.039559195775269</v>
      </c>
      <c r="Z10" s="533"/>
      <c r="AA10" s="533"/>
      <c r="AB10" s="533"/>
      <c r="AC10" s="533"/>
      <c r="AD10" s="533"/>
      <c r="AE10" s="533"/>
      <c r="AF10" s="533"/>
      <c r="AG10" s="533"/>
      <c r="AH10" s="533"/>
      <c r="AI10" s="533"/>
      <c r="AJ10" s="533"/>
      <c r="AK10" s="533"/>
      <c r="AL10" s="533"/>
      <c r="AM10" s="533"/>
      <c r="AN10" s="533"/>
      <c r="AO10" s="533"/>
      <c r="AP10" s="533"/>
      <c r="AQ10" s="533"/>
      <c r="AR10" s="533"/>
      <c r="AS10" s="533"/>
      <c r="AT10" s="533"/>
      <c r="AU10" s="533"/>
      <c r="AV10" s="533"/>
      <c r="AW10" s="533"/>
      <c r="AX10" s="533"/>
      <c r="AY10" s="533"/>
      <c r="AZ10" s="533"/>
      <c r="BA10" s="533"/>
    </row>
    <row r="11" spans="1:53" s="470" customFormat="1">
      <c r="A11" s="467">
        <v>1</v>
      </c>
      <c r="B11" s="468">
        <v>1</v>
      </c>
      <c r="C11" s="468" t="s">
        <v>66</v>
      </c>
      <c r="D11" s="469" t="s">
        <v>68</v>
      </c>
      <c r="E11" s="469" t="s">
        <v>70</v>
      </c>
      <c r="F11" s="469" t="s">
        <v>68</v>
      </c>
      <c r="G11" s="130" t="s">
        <v>306</v>
      </c>
      <c r="H11" s="131" t="s">
        <v>307</v>
      </c>
      <c r="I11" s="132">
        <f>SUM(I12:I18)</f>
        <v>37789300</v>
      </c>
      <c r="J11" s="132">
        <f t="shared" ref="J11:N11" si="12">SUM(J12:J18)</f>
        <v>7706300</v>
      </c>
      <c r="K11" s="132">
        <f t="shared" si="12"/>
        <v>11969000</v>
      </c>
      <c r="L11" s="132">
        <f t="shared" si="12"/>
        <v>14314000</v>
      </c>
      <c r="M11" s="132">
        <f t="shared" si="12"/>
        <v>3800000</v>
      </c>
      <c r="N11" s="132">
        <f t="shared" si="12"/>
        <v>19675300</v>
      </c>
      <c r="O11" s="133">
        <f t="shared" si="1"/>
        <v>52.065796402685415</v>
      </c>
      <c r="P11" s="134">
        <f>SUM(P18)</f>
        <v>0</v>
      </c>
      <c r="Q11" s="134">
        <f>SUM(Q12:Q18)</f>
        <v>4800000</v>
      </c>
      <c r="R11" s="134">
        <f t="shared" ref="R11:T11" si="13">SUM(R12:R18)</f>
        <v>0</v>
      </c>
      <c r="S11" s="134">
        <f t="shared" si="13"/>
        <v>0</v>
      </c>
      <c r="T11" s="134">
        <f t="shared" si="13"/>
        <v>4800000</v>
      </c>
      <c r="U11" s="134">
        <f t="shared" si="3"/>
        <v>24.396070199691998</v>
      </c>
      <c r="V11" s="135">
        <f t="shared" si="4"/>
        <v>14875300</v>
      </c>
      <c r="W11" s="134">
        <f t="shared" si="5"/>
        <v>75.603929800307995</v>
      </c>
      <c r="X11" s="135">
        <f t="shared" si="6"/>
        <v>32989300</v>
      </c>
      <c r="Y11" s="134">
        <f t="shared" si="7"/>
        <v>87.297991759572156</v>
      </c>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row>
    <row r="12" spans="1:53" ht="24">
      <c r="A12" s="447"/>
      <c r="B12" s="471" t="s">
        <v>72</v>
      </c>
      <c r="C12" s="471" t="s">
        <v>68</v>
      </c>
      <c r="D12" s="471" t="s">
        <v>93</v>
      </c>
      <c r="E12" s="471" t="s">
        <v>85</v>
      </c>
      <c r="F12" s="471" t="s">
        <v>81</v>
      </c>
      <c r="G12" s="12" t="s">
        <v>105</v>
      </c>
      <c r="H12" s="12"/>
      <c r="I12" s="13">
        <v>9000000</v>
      </c>
      <c r="J12" s="13">
        <v>2250000</v>
      </c>
      <c r="K12" s="13">
        <v>2250000</v>
      </c>
      <c r="L12" s="13">
        <v>2250000</v>
      </c>
      <c r="M12" s="17">
        <v>2250000</v>
      </c>
      <c r="N12" s="20">
        <f>J12+K12</f>
        <v>4500000</v>
      </c>
      <c r="O12" s="136">
        <f t="shared" si="1"/>
        <v>50</v>
      </c>
      <c r="P12" s="20"/>
      <c r="Q12" s="472">
        <f>2250000+750000+750000</f>
        <v>3750000</v>
      </c>
      <c r="R12" s="20"/>
      <c r="S12" s="20"/>
      <c r="T12" s="472">
        <f>P12+Q12</f>
        <v>3750000</v>
      </c>
      <c r="U12" s="472">
        <f t="shared" si="3"/>
        <v>83.333333333333343</v>
      </c>
      <c r="V12" s="472">
        <f t="shared" si="4"/>
        <v>750000</v>
      </c>
      <c r="W12" s="472">
        <f t="shared" si="5"/>
        <v>16.666666666666664</v>
      </c>
      <c r="X12" s="472">
        <f t="shared" si="6"/>
        <v>5250000</v>
      </c>
      <c r="Y12" s="472">
        <f t="shared" si="7"/>
        <v>58.333333333333336</v>
      </c>
    </row>
    <row r="13" spans="1:53" ht="24">
      <c r="A13" s="447"/>
      <c r="B13" s="448" t="s">
        <v>72</v>
      </c>
      <c r="C13" s="448" t="s">
        <v>73</v>
      </c>
      <c r="D13" s="471" t="s">
        <v>68</v>
      </c>
      <c r="E13" s="471" t="s">
        <v>68</v>
      </c>
      <c r="F13" s="471" t="s">
        <v>74</v>
      </c>
      <c r="G13" s="12" t="s">
        <v>75</v>
      </c>
      <c r="H13" s="12"/>
      <c r="I13" s="13">
        <v>1132000</v>
      </c>
      <c r="J13" s="13">
        <v>400000</v>
      </c>
      <c r="K13" s="13">
        <v>400000</v>
      </c>
      <c r="L13" s="13">
        <v>332000</v>
      </c>
      <c r="M13" s="17">
        <v>0</v>
      </c>
      <c r="N13" s="20">
        <f t="shared" ref="N13:N18" si="14">J13+K13</f>
        <v>800000</v>
      </c>
      <c r="O13" s="136">
        <f t="shared" si="1"/>
        <v>70.671378091872796</v>
      </c>
      <c r="P13" s="20"/>
      <c r="Q13" s="472"/>
      <c r="R13" s="20"/>
      <c r="S13" s="20"/>
      <c r="T13" s="472">
        <f t="shared" ref="T13:T18" si="15">P13+Q13</f>
        <v>0</v>
      </c>
      <c r="U13" s="472">
        <f t="shared" si="3"/>
        <v>0</v>
      </c>
      <c r="V13" s="472">
        <f t="shared" si="4"/>
        <v>800000</v>
      </c>
      <c r="W13" s="472">
        <f t="shared" si="5"/>
        <v>100</v>
      </c>
      <c r="X13" s="472">
        <f t="shared" si="6"/>
        <v>1132000</v>
      </c>
      <c r="Y13" s="472">
        <f t="shared" si="7"/>
        <v>100</v>
      </c>
    </row>
    <row r="14" spans="1:53" ht="24">
      <c r="A14" s="447"/>
      <c r="B14" s="448" t="s">
        <v>72</v>
      </c>
      <c r="C14" s="448" t="s">
        <v>73</v>
      </c>
      <c r="D14" s="471" t="s">
        <v>68</v>
      </c>
      <c r="E14" s="471" t="s">
        <v>68</v>
      </c>
      <c r="F14" s="471" t="s">
        <v>308</v>
      </c>
      <c r="G14" s="12" t="s">
        <v>309</v>
      </c>
      <c r="H14" s="12"/>
      <c r="I14" s="13">
        <v>375300</v>
      </c>
      <c r="J14" s="13">
        <v>375300</v>
      </c>
      <c r="K14" s="13">
        <v>0</v>
      </c>
      <c r="L14" s="13">
        <v>0</v>
      </c>
      <c r="M14" s="17">
        <v>0</v>
      </c>
      <c r="N14" s="20">
        <f t="shared" si="14"/>
        <v>375300</v>
      </c>
      <c r="O14" s="136">
        <f t="shared" si="1"/>
        <v>100</v>
      </c>
      <c r="P14" s="20"/>
      <c r="Q14" s="472"/>
      <c r="R14" s="20"/>
      <c r="S14" s="20"/>
      <c r="T14" s="472">
        <f t="shared" si="15"/>
        <v>0</v>
      </c>
      <c r="U14" s="472">
        <f t="shared" si="3"/>
        <v>0</v>
      </c>
      <c r="V14" s="472">
        <f t="shared" si="4"/>
        <v>375300</v>
      </c>
      <c r="W14" s="472">
        <f t="shared" si="5"/>
        <v>100</v>
      </c>
      <c r="X14" s="472">
        <f t="shared" si="6"/>
        <v>375300</v>
      </c>
      <c r="Y14" s="472">
        <f t="shared" si="7"/>
        <v>100</v>
      </c>
    </row>
    <row r="15" spans="1:53">
      <c r="A15" s="447"/>
      <c r="B15" s="448" t="s">
        <v>72</v>
      </c>
      <c r="C15" s="448" t="s">
        <v>73</v>
      </c>
      <c r="D15" s="471" t="s">
        <v>68</v>
      </c>
      <c r="E15" s="471" t="s">
        <v>68</v>
      </c>
      <c r="F15" s="471" t="s">
        <v>76</v>
      </c>
      <c r="G15" s="12" t="s">
        <v>77</v>
      </c>
      <c r="H15" s="12"/>
      <c r="I15" s="13">
        <v>2500000</v>
      </c>
      <c r="J15" s="13">
        <v>500000</v>
      </c>
      <c r="K15" s="13">
        <v>750000</v>
      </c>
      <c r="L15" s="13">
        <v>750000</v>
      </c>
      <c r="M15" s="17">
        <v>500000</v>
      </c>
      <c r="N15" s="20">
        <f t="shared" si="14"/>
        <v>1250000</v>
      </c>
      <c r="O15" s="136">
        <f t="shared" si="1"/>
        <v>50</v>
      </c>
      <c r="P15" s="20"/>
      <c r="Q15" s="472"/>
      <c r="R15" s="20"/>
      <c r="S15" s="20"/>
      <c r="T15" s="472">
        <f t="shared" si="15"/>
        <v>0</v>
      </c>
      <c r="U15" s="472">
        <f t="shared" si="3"/>
        <v>0</v>
      </c>
      <c r="V15" s="472">
        <f t="shared" si="4"/>
        <v>1250000</v>
      </c>
      <c r="W15" s="472">
        <f t="shared" si="5"/>
        <v>100</v>
      </c>
      <c r="X15" s="472">
        <f t="shared" si="6"/>
        <v>2500000</v>
      </c>
      <c r="Y15" s="472">
        <f t="shared" si="7"/>
        <v>100</v>
      </c>
    </row>
    <row r="16" spans="1:53">
      <c r="A16" s="447"/>
      <c r="B16" s="473" t="s">
        <v>72</v>
      </c>
      <c r="C16" s="473" t="s">
        <v>73</v>
      </c>
      <c r="D16" s="474" t="s">
        <v>68</v>
      </c>
      <c r="E16" s="474" t="s">
        <v>68</v>
      </c>
      <c r="F16" s="474" t="s">
        <v>190</v>
      </c>
      <c r="G16" s="137" t="s">
        <v>310</v>
      </c>
      <c r="H16" s="137"/>
      <c r="I16" s="14">
        <v>1662000</v>
      </c>
      <c r="J16" s="14">
        <v>461000</v>
      </c>
      <c r="K16" s="14">
        <v>669000</v>
      </c>
      <c r="L16" s="14">
        <v>532000</v>
      </c>
      <c r="M16" s="138">
        <v>0</v>
      </c>
      <c r="N16" s="20">
        <f t="shared" si="14"/>
        <v>1130000</v>
      </c>
      <c r="O16" s="136">
        <f t="shared" si="1"/>
        <v>67.990373044524659</v>
      </c>
      <c r="P16" s="20"/>
      <c r="Q16" s="472"/>
      <c r="R16" s="20"/>
      <c r="S16" s="20"/>
      <c r="T16" s="472">
        <f t="shared" si="15"/>
        <v>0</v>
      </c>
      <c r="U16" s="472">
        <f t="shared" si="3"/>
        <v>0</v>
      </c>
      <c r="V16" s="472">
        <f t="shared" si="4"/>
        <v>1130000</v>
      </c>
      <c r="W16" s="472">
        <f t="shared" si="5"/>
        <v>100</v>
      </c>
      <c r="X16" s="472">
        <f t="shared" si="6"/>
        <v>1662000</v>
      </c>
      <c r="Y16" s="472">
        <f t="shared" si="7"/>
        <v>100</v>
      </c>
    </row>
    <row r="17" spans="1:53">
      <c r="A17" s="447"/>
      <c r="B17" s="475" t="s">
        <v>72</v>
      </c>
      <c r="C17" s="475" t="s">
        <v>73</v>
      </c>
      <c r="D17" s="475" t="s">
        <v>68</v>
      </c>
      <c r="E17" s="475" t="s">
        <v>68</v>
      </c>
      <c r="F17" s="475" t="s">
        <v>78</v>
      </c>
      <c r="G17" s="12" t="s">
        <v>79</v>
      </c>
      <c r="H17" s="12"/>
      <c r="I17" s="13">
        <v>6300000</v>
      </c>
      <c r="J17" s="13">
        <v>1050000</v>
      </c>
      <c r="K17" s="13">
        <v>2100000</v>
      </c>
      <c r="L17" s="13">
        <v>2100000</v>
      </c>
      <c r="M17" s="17">
        <v>1050000</v>
      </c>
      <c r="N17" s="20">
        <f t="shared" si="14"/>
        <v>3150000</v>
      </c>
      <c r="O17" s="136">
        <f t="shared" si="1"/>
        <v>50</v>
      </c>
      <c r="P17" s="20"/>
      <c r="Q17" s="472">
        <f>1050000</f>
        <v>1050000</v>
      </c>
      <c r="R17" s="20"/>
      <c r="S17" s="20"/>
      <c r="T17" s="472">
        <f t="shared" si="15"/>
        <v>1050000</v>
      </c>
      <c r="U17" s="472">
        <f t="shared" si="3"/>
        <v>33.333333333333329</v>
      </c>
      <c r="V17" s="472">
        <f t="shared" si="4"/>
        <v>2100000</v>
      </c>
      <c r="W17" s="472">
        <f t="shared" si="5"/>
        <v>66.666666666666657</v>
      </c>
      <c r="X17" s="472">
        <f t="shared" si="6"/>
        <v>5250000</v>
      </c>
      <c r="Y17" s="472">
        <f t="shared" si="7"/>
        <v>83.333333333333343</v>
      </c>
    </row>
    <row r="18" spans="1:53">
      <c r="A18" s="447"/>
      <c r="B18" s="475" t="s">
        <v>72</v>
      </c>
      <c r="C18" s="475" t="s">
        <v>73</v>
      </c>
      <c r="D18" s="475" t="s">
        <v>80</v>
      </c>
      <c r="E18" s="475" t="s">
        <v>68</v>
      </c>
      <c r="F18" s="475" t="s">
        <v>81</v>
      </c>
      <c r="G18" s="12" t="s">
        <v>82</v>
      </c>
      <c r="H18" s="12"/>
      <c r="I18" s="13">
        <v>16820000</v>
      </c>
      <c r="J18" s="13">
        <v>2670000</v>
      </c>
      <c r="K18" s="13">
        <v>5800000</v>
      </c>
      <c r="L18" s="13">
        <v>8350000</v>
      </c>
      <c r="M18" s="17">
        <v>0</v>
      </c>
      <c r="N18" s="20">
        <f t="shared" si="14"/>
        <v>8470000</v>
      </c>
      <c r="O18" s="136">
        <f t="shared" si="1"/>
        <v>50.356718192627824</v>
      </c>
      <c r="P18" s="20"/>
      <c r="Q18" s="472"/>
      <c r="R18" s="20"/>
      <c r="S18" s="20"/>
      <c r="T18" s="472">
        <f t="shared" si="15"/>
        <v>0</v>
      </c>
      <c r="U18" s="472">
        <f t="shared" si="3"/>
        <v>0</v>
      </c>
      <c r="V18" s="472">
        <f t="shared" si="4"/>
        <v>8470000</v>
      </c>
      <c r="W18" s="472">
        <f t="shared" si="5"/>
        <v>100</v>
      </c>
      <c r="X18" s="472">
        <f t="shared" si="6"/>
        <v>16820000</v>
      </c>
      <c r="Y18" s="472">
        <f t="shared" si="7"/>
        <v>100</v>
      </c>
    </row>
    <row r="19" spans="1:53" s="470" customFormat="1">
      <c r="A19" s="467">
        <v>2</v>
      </c>
      <c r="B19" s="476">
        <v>1</v>
      </c>
      <c r="C19" s="476" t="s">
        <v>66</v>
      </c>
      <c r="D19" s="476" t="s">
        <v>68</v>
      </c>
      <c r="E19" s="476" t="s">
        <v>70</v>
      </c>
      <c r="F19" s="476" t="s">
        <v>73</v>
      </c>
      <c r="G19" s="139" t="s">
        <v>83</v>
      </c>
      <c r="H19" s="131" t="s">
        <v>307</v>
      </c>
      <c r="I19" s="140">
        <f>SUM(I20:I24)</f>
        <v>4925200</v>
      </c>
      <c r="J19" s="140">
        <f t="shared" ref="J19:N19" si="16">SUM(J20:J24)</f>
        <v>0</v>
      </c>
      <c r="K19" s="140">
        <f t="shared" si="16"/>
        <v>0</v>
      </c>
      <c r="L19" s="140">
        <f t="shared" si="16"/>
        <v>4925200</v>
      </c>
      <c r="M19" s="140">
        <f t="shared" si="16"/>
        <v>0</v>
      </c>
      <c r="N19" s="140">
        <f t="shared" si="16"/>
        <v>0</v>
      </c>
      <c r="O19" s="141">
        <f t="shared" si="1"/>
        <v>0</v>
      </c>
      <c r="P19" s="477">
        <f>SUM(P20:P24)</f>
        <v>0</v>
      </c>
      <c r="Q19" s="142">
        <f t="shared" ref="Q19:T19" si="17">SUM(Q20:Q24)</f>
        <v>0</v>
      </c>
      <c r="R19" s="142">
        <f t="shared" si="17"/>
        <v>0</v>
      </c>
      <c r="S19" s="142">
        <f t="shared" si="17"/>
        <v>0</v>
      </c>
      <c r="T19" s="142">
        <f t="shared" si="17"/>
        <v>0</v>
      </c>
      <c r="U19" s="142" t="e">
        <f t="shared" si="3"/>
        <v>#DIV/0!</v>
      </c>
      <c r="V19" s="135">
        <f t="shared" si="4"/>
        <v>0</v>
      </c>
      <c r="W19" s="142" t="e">
        <f t="shared" si="5"/>
        <v>#DIV/0!</v>
      </c>
      <c r="X19" s="135">
        <f t="shared" si="6"/>
        <v>4925200</v>
      </c>
      <c r="Y19" s="142">
        <f t="shared" si="7"/>
        <v>100</v>
      </c>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row>
    <row r="20" spans="1:53">
      <c r="A20" s="447"/>
      <c r="B20" s="475" t="s">
        <v>72</v>
      </c>
      <c r="C20" s="475" t="s">
        <v>73</v>
      </c>
      <c r="D20" s="475" t="s">
        <v>68</v>
      </c>
      <c r="E20" s="475" t="s">
        <v>68</v>
      </c>
      <c r="F20" s="478" t="s">
        <v>74</v>
      </c>
      <c r="G20" s="137" t="s">
        <v>75</v>
      </c>
      <c r="H20" s="137"/>
      <c r="I20" s="14">
        <v>963900</v>
      </c>
      <c r="J20" s="14">
        <v>0</v>
      </c>
      <c r="K20" s="14">
        <v>0</v>
      </c>
      <c r="L20" s="14">
        <v>963900</v>
      </c>
      <c r="M20" s="138">
        <v>0</v>
      </c>
      <c r="N20" s="20">
        <f>J20+K20</f>
        <v>0</v>
      </c>
      <c r="O20" s="136">
        <f t="shared" si="1"/>
        <v>0</v>
      </c>
      <c r="P20" s="20"/>
      <c r="Q20" s="472"/>
      <c r="R20" s="20"/>
      <c r="S20" s="20"/>
      <c r="T20" s="466">
        <f>P20+Q20</f>
        <v>0</v>
      </c>
      <c r="U20" s="472" t="e">
        <f t="shared" si="3"/>
        <v>#DIV/0!</v>
      </c>
      <c r="V20" s="472">
        <f t="shared" si="4"/>
        <v>0</v>
      </c>
      <c r="W20" s="472" t="e">
        <f t="shared" si="5"/>
        <v>#DIV/0!</v>
      </c>
      <c r="X20" s="472">
        <f t="shared" si="6"/>
        <v>963900</v>
      </c>
      <c r="Y20" s="472">
        <f t="shared" si="7"/>
        <v>100</v>
      </c>
    </row>
    <row r="21" spans="1:53" ht="24">
      <c r="A21" s="447"/>
      <c r="B21" s="475" t="s">
        <v>72</v>
      </c>
      <c r="C21" s="475" t="s">
        <v>73</v>
      </c>
      <c r="D21" s="475" t="s">
        <v>68</v>
      </c>
      <c r="E21" s="475" t="s">
        <v>68</v>
      </c>
      <c r="F21" s="475" t="s">
        <v>308</v>
      </c>
      <c r="G21" s="12" t="s">
        <v>309</v>
      </c>
      <c r="H21" s="12"/>
      <c r="I21" s="13">
        <v>450300</v>
      </c>
      <c r="J21" s="13"/>
      <c r="K21" s="13"/>
      <c r="L21" s="13">
        <v>450300</v>
      </c>
      <c r="M21" s="17"/>
      <c r="N21" s="20">
        <f t="shared" ref="N21:N24" si="18">J21+K21</f>
        <v>0</v>
      </c>
      <c r="O21" s="136">
        <f t="shared" si="1"/>
        <v>0</v>
      </c>
      <c r="P21" s="20"/>
      <c r="Q21" s="472"/>
      <c r="R21" s="20"/>
      <c r="S21" s="20"/>
      <c r="T21" s="466">
        <f t="shared" ref="T21:T24" si="19">P21+Q21</f>
        <v>0</v>
      </c>
      <c r="U21" s="472" t="e">
        <f t="shared" si="3"/>
        <v>#DIV/0!</v>
      </c>
      <c r="V21" s="472">
        <f t="shared" si="4"/>
        <v>0</v>
      </c>
      <c r="W21" s="472" t="e">
        <f t="shared" si="5"/>
        <v>#DIV/0!</v>
      </c>
      <c r="X21" s="472">
        <f t="shared" si="6"/>
        <v>450300</v>
      </c>
      <c r="Y21" s="472">
        <f t="shared" si="7"/>
        <v>100</v>
      </c>
    </row>
    <row r="22" spans="1:53">
      <c r="A22" s="447"/>
      <c r="B22" s="475" t="s">
        <v>72</v>
      </c>
      <c r="C22" s="475" t="s">
        <v>73</v>
      </c>
      <c r="D22" s="475" t="s">
        <v>68</v>
      </c>
      <c r="E22" s="475" t="s">
        <v>68</v>
      </c>
      <c r="F22" s="475" t="s">
        <v>76</v>
      </c>
      <c r="G22" s="12" t="s">
        <v>77</v>
      </c>
      <c r="H22" s="12"/>
      <c r="I22" s="13">
        <v>1250000</v>
      </c>
      <c r="J22" s="13"/>
      <c r="K22" s="13"/>
      <c r="L22" s="13">
        <v>1250000</v>
      </c>
      <c r="M22" s="17"/>
      <c r="N22" s="20">
        <f t="shared" si="18"/>
        <v>0</v>
      </c>
      <c r="O22" s="136">
        <f t="shared" si="1"/>
        <v>0</v>
      </c>
      <c r="P22" s="20"/>
      <c r="Q22" s="472"/>
      <c r="R22" s="20"/>
      <c r="S22" s="20"/>
      <c r="T22" s="466">
        <f t="shared" si="19"/>
        <v>0</v>
      </c>
      <c r="U22" s="472" t="e">
        <f t="shared" si="3"/>
        <v>#DIV/0!</v>
      </c>
      <c r="V22" s="472">
        <f t="shared" si="4"/>
        <v>0</v>
      </c>
      <c r="W22" s="472" t="e">
        <f t="shared" si="5"/>
        <v>#DIV/0!</v>
      </c>
      <c r="X22" s="472">
        <f t="shared" si="6"/>
        <v>1250000</v>
      </c>
      <c r="Y22" s="472">
        <f t="shared" si="7"/>
        <v>100</v>
      </c>
    </row>
    <row r="23" spans="1:53" ht="24">
      <c r="A23" s="447"/>
      <c r="B23" s="479" t="s">
        <v>72</v>
      </c>
      <c r="C23" s="479" t="s">
        <v>73</v>
      </c>
      <c r="D23" s="479" t="s">
        <v>68</v>
      </c>
      <c r="E23" s="479" t="s">
        <v>68</v>
      </c>
      <c r="F23" s="480" t="s">
        <v>190</v>
      </c>
      <c r="G23" s="15" t="s">
        <v>310</v>
      </c>
      <c r="H23" s="15"/>
      <c r="I23" s="14">
        <v>1211000</v>
      </c>
      <c r="J23" s="14"/>
      <c r="K23" s="14"/>
      <c r="L23" s="14">
        <v>1211000</v>
      </c>
      <c r="M23" s="138"/>
      <c r="N23" s="20">
        <f t="shared" si="18"/>
        <v>0</v>
      </c>
      <c r="O23" s="136">
        <f t="shared" si="1"/>
        <v>0</v>
      </c>
      <c r="P23" s="20"/>
      <c r="Q23" s="472"/>
      <c r="R23" s="20"/>
      <c r="S23" s="20"/>
      <c r="T23" s="466">
        <f t="shared" si="19"/>
        <v>0</v>
      </c>
      <c r="U23" s="472" t="e">
        <f t="shared" si="3"/>
        <v>#DIV/0!</v>
      </c>
      <c r="V23" s="472">
        <f t="shared" si="4"/>
        <v>0</v>
      </c>
      <c r="W23" s="472" t="e">
        <f t="shared" si="5"/>
        <v>#DIV/0!</v>
      </c>
      <c r="X23" s="472">
        <f t="shared" si="6"/>
        <v>1211000</v>
      </c>
      <c r="Y23" s="472">
        <f t="shared" si="7"/>
        <v>100</v>
      </c>
    </row>
    <row r="24" spans="1:53">
      <c r="A24" s="447"/>
      <c r="B24" s="475" t="s">
        <v>72</v>
      </c>
      <c r="C24" s="475" t="s">
        <v>73</v>
      </c>
      <c r="D24" s="475" t="s">
        <v>68</v>
      </c>
      <c r="E24" s="475" t="s">
        <v>68</v>
      </c>
      <c r="F24" s="475" t="s">
        <v>78</v>
      </c>
      <c r="G24" s="12" t="s">
        <v>79</v>
      </c>
      <c r="H24" s="12"/>
      <c r="I24" s="13">
        <v>1050000</v>
      </c>
      <c r="J24" s="13"/>
      <c r="K24" s="13"/>
      <c r="L24" s="13">
        <v>1050000</v>
      </c>
      <c r="M24" s="17"/>
      <c r="N24" s="20">
        <f t="shared" si="18"/>
        <v>0</v>
      </c>
      <c r="O24" s="136">
        <f t="shared" si="1"/>
        <v>0</v>
      </c>
      <c r="P24" s="20"/>
      <c r="Q24" s="472"/>
      <c r="R24" s="20"/>
      <c r="S24" s="20"/>
      <c r="T24" s="466">
        <f t="shared" si="19"/>
        <v>0</v>
      </c>
      <c r="U24" s="472" t="e">
        <f t="shared" si="3"/>
        <v>#DIV/0!</v>
      </c>
      <c r="V24" s="472">
        <f t="shared" si="4"/>
        <v>0</v>
      </c>
      <c r="W24" s="472" t="e">
        <f t="shared" si="5"/>
        <v>#DIV/0!</v>
      </c>
      <c r="X24" s="472">
        <f t="shared" si="6"/>
        <v>1050000</v>
      </c>
      <c r="Y24" s="472">
        <f t="shared" si="7"/>
        <v>100</v>
      </c>
    </row>
    <row r="25" spans="1:53" s="484" customFormat="1">
      <c r="A25" s="481">
        <v>3</v>
      </c>
      <c r="B25" s="482">
        <v>1</v>
      </c>
      <c r="C25" s="482" t="s">
        <v>66</v>
      </c>
      <c r="D25" s="482" t="s">
        <v>68</v>
      </c>
      <c r="E25" s="482" t="s">
        <v>70</v>
      </c>
      <c r="F25" s="482" t="s">
        <v>80</v>
      </c>
      <c r="G25" s="143" t="s">
        <v>84</v>
      </c>
      <c r="H25" s="131" t="s">
        <v>307</v>
      </c>
      <c r="I25" s="144">
        <f>SUM(I26:I29)</f>
        <v>4354340</v>
      </c>
      <c r="J25" s="144">
        <f t="shared" ref="J25:N25" si="20">SUM(J26:J29)</f>
        <v>2568340</v>
      </c>
      <c r="K25" s="144">
        <f t="shared" si="20"/>
        <v>0</v>
      </c>
      <c r="L25" s="144">
        <f t="shared" si="20"/>
        <v>0</v>
      </c>
      <c r="M25" s="144">
        <f t="shared" si="20"/>
        <v>1786000</v>
      </c>
      <c r="N25" s="144">
        <f t="shared" si="20"/>
        <v>2568340</v>
      </c>
      <c r="O25" s="133">
        <f t="shared" si="1"/>
        <v>58.983450993721206</v>
      </c>
      <c r="P25" s="483">
        <f>SUM(P26:P29)</f>
        <v>0</v>
      </c>
      <c r="Q25" s="134">
        <f t="shared" ref="Q25:T25" si="21">SUM(Q26:Q29)</f>
        <v>1086400</v>
      </c>
      <c r="R25" s="134">
        <f t="shared" si="21"/>
        <v>0</v>
      </c>
      <c r="S25" s="134">
        <f t="shared" si="21"/>
        <v>0</v>
      </c>
      <c r="T25" s="134">
        <f t="shared" si="21"/>
        <v>1086400</v>
      </c>
      <c r="U25" s="134">
        <f t="shared" si="3"/>
        <v>42.299695523178393</v>
      </c>
      <c r="V25" s="135">
        <f t="shared" si="4"/>
        <v>1481940</v>
      </c>
      <c r="W25" s="134">
        <f t="shared" si="5"/>
        <v>57.700304476821607</v>
      </c>
      <c r="X25" s="135">
        <f t="shared" si="6"/>
        <v>3267940</v>
      </c>
      <c r="Y25" s="134">
        <f t="shared" si="7"/>
        <v>75.050179820592788</v>
      </c>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540"/>
      <c r="AV25" s="540"/>
      <c r="AW25" s="540"/>
      <c r="AX25" s="540"/>
      <c r="AY25" s="540"/>
      <c r="AZ25" s="540"/>
      <c r="BA25" s="540"/>
    </row>
    <row r="26" spans="1:53" ht="24">
      <c r="A26" s="447"/>
      <c r="B26" s="475" t="s">
        <v>72</v>
      </c>
      <c r="C26" s="475" t="s">
        <v>73</v>
      </c>
      <c r="D26" s="475" t="s">
        <v>68</v>
      </c>
      <c r="E26" s="475" t="s">
        <v>68</v>
      </c>
      <c r="F26" s="475" t="s">
        <v>74</v>
      </c>
      <c r="G26" s="12" t="s">
        <v>75</v>
      </c>
      <c r="H26" s="12"/>
      <c r="I26" s="13">
        <v>449500</v>
      </c>
      <c r="J26" s="13">
        <v>449500</v>
      </c>
      <c r="K26" s="13">
        <v>0</v>
      </c>
      <c r="L26" s="13">
        <v>0</v>
      </c>
      <c r="M26" s="17">
        <v>0</v>
      </c>
      <c r="N26" s="20">
        <f>J26+K26</f>
        <v>449500</v>
      </c>
      <c r="O26" s="136">
        <f t="shared" si="1"/>
        <v>100</v>
      </c>
      <c r="P26" s="20"/>
      <c r="Q26" s="472"/>
      <c r="R26" s="20"/>
      <c r="S26" s="20"/>
      <c r="T26" s="466">
        <f>P26+Q26</f>
        <v>0</v>
      </c>
      <c r="U26" s="472">
        <f t="shared" si="3"/>
        <v>0</v>
      </c>
      <c r="V26" s="472">
        <f t="shared" si="4"/>
        <v>449500</v>
      </c>
      <c r="W26" s="472">
        <f t="shared" si="5"/>
        <v>100</v>
      </c>
      <c r="X26" s="472">
        <f t="shared" si="6"/>
        <v>449500</v>
      </c>
      <c r="Y26" s="472">
        <f t="shared" si="7"/>
        <v>100</v>
      </c>
    </row>
    <row r="27" spans="1:53" ht="24">
      <c r="A27" s="447"/>
      <c r="B27" s="475" t="s">
        <v>72</v>
      </c>
      <c r="C27" s="475" t="s">
        <v>73</v>
      </c>
      <c r="D27" s="475" t="s">
        <v>68</v>
      </c>
      <c r="E27" s="475" t="s">
        <v>68</v>
      </c>
      <c r="F27" s="475" t="s">
        <v>308</v>
      </c>
      <c r="G27" s="12" t="s">
        <v>309</v>
      </c>
      <c r="H27" s="12"/>
      <c r="I27" s="13">
        <v>261840</v>
      </c>
      <c r="J27" s="13">
        <v>261840</v>
      </c>
      <c r="K27" s="13">
        <v>0</v>
      </c>
      <c r="L27" s="13">
        <v>0</v>
      </c>
      <c r="M27" s="17">
        <v>0</v>
      </c>
      <c r="N27" s="20">
        <f t="shared" ref="N27:N29" si="22">J27+K27</f>
        <v>261840</v>
      </c>
      <c r="O27" s="136">
        <f t="shared" si="1"/>
        <v>100</v>
      </c>
      <c r="P27" s="20"/>
      <c r="Q27" s="472"/>
      <c r="R27" s="20"/>
      <c r="S27" s="20"/>
      <c r="T27" s="466">
        <f t="shared" ref="T27:T29" si="23">P27+Q27</f>
        <v>0</v>
      </c>
      <c r="U27" s="472">
        <f t="shared" si="3"/>
        <v>0</v>
      </c>
      <c r="V27" s="472">
        <f t="shared" si="4"/>
        <v>261840</v>
      </c>
      <c r="W27" s="472">
        <f t="shared" si="5"/>
        <v>100</v>
      </c>
      <c r="X27" s="472">
        <f t="shared" si="6"/>
        <v>261840</v>
      </c>
      <c r="Y27" s="472">
        <f t="shared" si="7"/>
        <v>100</v>
      </c>
    </row>
    <row r="28" spans="1:53">
      <c r="A28" s="485"/>
      <c r="B28" s="475" t="s">
        <v>72</v>
      </c>
      <c r="C28" s="475" t="s">
        <v>73</v>
      </c>
      <c r="D28" s="475" t="s">
        <v>68</v>
      </c>
      <c r="E28" s="478" t="s">
        <v>68</v>
      </c>
      <c r="F28" s="475" t="s">
        <v>76</v>
      </c>
      <c r="G28" s="12" t="s">
        <v>77</v>
      </c>
      <c r="H28" s="12"/>
      <c r="I28" s="13">
        <v>2400000</v>
      </c>
      <c r="J28" s="13">
        <v>1200000</v>
      </c>
      <c r="K28" s="13">
        <v>0</v>
      </c>
      <c r="L28" s="13">
        <v>0</v>
      </c>
      <c r="M28" s="17">
        <v>1200000</v>
      </c>
      <c r="N28" s="20">
        <f t="shared" si="22"/>
        <v>1200000</v>
      </c>
      <c r="O28" s="145">
        <f t="shared" ref="O28" si="24">O29+O40</f>
        <v>132.85599331200038</v>
      </c>
      <c r="P28" s="17"/>
      <c r="Q28" s="13">
        <f>1086400</f>
        <v>1086400</v>
      </c>
      <c r="R28" s="17"/>
      <c r="S28" s="17"/>
      <c r="T28" s="466">
        <f t="shared" si="23"/>
        <v>1086400</v>
      </c>
      <c r="U28" s="472">
        <f t="shared" si="3"/>
        <v>90.533333333333331</v>
      </c>
      <c r="V28" s="472">
        <f t="shared" si="4"/>
        <v>113600</v>
      </c>
      <c r="W28" s="472">
        <f t="shared" si="5"/>
        <v>9.4666666666666668</v>
      </c>
      <c r="X28" s="472">
        <f t="shared" si="6"/>
        <v>1313600</v>
      </c>
      <c r="Y28" s="472">
        <f t="shared" si="7"/>
        <v>54.733333333333334</v>
      </c>
    </row>
    <row r="29" spans="1:53" ht="24">
      <c r="A29" s="447"/>
      <c r="B29" s="479" t="s">
        <v>72</v>
      </c>
      <c r="C29" s="479" t="s">
        <v>73</v>
      </c>
      <c r="D29" s="479" t="s">
        <v>68</v>
      </c>
      <c r="E29" s="480" t="s">
        <v>68</v>
      </c>
      <c r="F29" s="480" t="s">
        <v>190</v>
      </c>
      <c r="G29" s="15" t="s">
        <v>310</v>
      </c>
      <c r="H29" s="15"/>
      <c r="I29" s="14">
        <v>1243000</v>
      </c>
      <c r="J29" s="14">
        <v>657000</v>
      </c>
      <c r="K29" s="14"/>
      <c r="L29" s="14"/>
      <c r="M29" s="138">
        <v>586000</v>
      </c>
      <c r="N29" s="20">
        <f t="shared" si="22"/>
        <v>657000</v>
      </c>
      <c r="O29" s="136">
        <f t="shared" si="1"/>
        <v>52.855993563958172</v>
      </c>
      <c r="P29" s="138"/>
      <c r="Q29" s="14"/>
      <c r="R29" s="138"/>
      <c r="S29" s="138"/>
      <c r="T29" s="466">
        <f t="shared" si="23"/>
        <v>0</v>
      </c>
      <c r="U29" s="472">
        <f t="shared" si="3"/>
        <v>0</v>
      </c>
      <c r="V29" s="472">
        <f t="shared" si="4"/>
        <v>657000</v>
      </c>
      <c r="W29" s="472">
        <f t="shared" si="5"/>
        <v>100</v>
      </c>
      <c r="X29" s="472">
        <f t="shared" si="6"/>
        <v>1243000</v>
      </c>
      <c r="Y29" s="472">
        <f t="shared" si="7"/>
        <v>100</v>
      </c>
    </row>
    <row r="30" spans="1:53" s="484" customFormat="1">
      <c r="A30" s="481">
        <v>4</v>
      </c>
      <c r="B30" s="482">
        <v>1</v>
      </c>
      <c r="C30" s="486" t="s">
        <v>66</v>
      </c>
      <c r="D30" s="482" t="s">
        <v>68</v>
      </c>
      <c r="E30" s="482" t="s">
        <v>70</v>
      </c>
      <c r="F30" s="486" t="s">
        <v>85</v>
      </c>
      <c r="G30" s="143" t="s">
        <v>86</v>
      </c>
      <c r="H30" s="131" t="s">
        <v>307</v>
      </c>
      <c r="I30" s="144">
        <f>SUM(I31:I36)</f>
        <v>30963080</v>
      </c>
      <c r="J30" s="144">
        <f t="shared" ref="J30:N30" si="25">SUM(J31:J36)</f>
        <v>6446300</v>
      </c>
      <c r="K30" s="144">
        <f t="shared" si="25"/>
        <v>9390000</v>
      </c>
      <c r="L30" s="144">
        <f t="shared" si="25"/>
        <v>7913780</v>
      </c>
      <c r="M30" s="144">
        <f t="shared" si="25"/>
        <v>7213000</v>
      </c>
      <c r="N30" s="144">
        <f t="shared" si="25"/>
        <v>15836300</v>
      </c>
      <c r="O30" s="133">
        <f t="shared" si="1"/>
        <v>51.145751650029645</v>
      </c>
      <c r="P30" s="483">
        <f>SUM(P31:P35)</f>
        <v>0</v>
      </c>
      <c r="Q30" s="134">
        <f>SUM(Q31:Q36)</f>
        <v>5007200</v>
      </c>
      <c r="R30" s="134">
        <f t="shared" ref="R30:S30" si="26">SUM(R31:R35)</f>
        <v>0</v>
      </c>
      <c r="S30" s="134">
        <f t="shared" si="26"/>
        <v>0</v>
      </c>
      <c r="T30" s="134">
        <f>SUM(T31:T36)</f>
        <v>5007200</v>
      </c>
      <c r="U30" s="134">
        <f t="shared" si="3"/>
        <v>31.618496744820447</v>
      </c>
      <c r="V30" s="135">
        <f t="shared" si="4"/>
        <v>10829100</v>
      </c>
      <c r="W30" s="134">
        <f t="shared" si="5"/>
        <v>68.381503255179553</v>
      </c>
      <c r="X30" s="135">
        <f t="shared" si="6"/>
        <v>25955880</v>
      </c>
      <c r="Y30" s="134">
        <f t="shared" si="7"/>
        <v>83.828482179421428</v>
      </c>
      <c r="Z30" s="540"/>
      <c r="AA30" s="540"/>
      <c r="AB30" s="540"/>
      <c r="AC30" s="540"/>
      <c r="AD30" s="540"/>
      <c r="AE30" s="540"/>
      <c r="AF30" s="540"/>
      <c r="AG30" s="540"/>
      <c r="AH30" s="540"/>
      <c r="AI30" s="540"/>
      <c r="AJ30" s="540"/>
      <c r="AK30" s="540"/>
      <c r="AL30" s="540"/>
      <c r="AM30" s="540"/>
      <c r="AN30" s="540"/>
      <c r="AO30" s="540"/>
      <c r="AP30" s="540"/>
      <c r="AQ30" s="540"/>
      <c r="AR30" s="540"/>
      <c r="AS30" s="540"/>
      <c r="AT30" s="540"/>
      <c r="AU30" s="540"/>
      <c r="AV30" s="540"/>
      <c r="AW30" s="540"/>
      <c r="AX30" s="540"/>
      <c r="AY30" s="540"/>
      <c r="AZ30" s="540"/>
      <c r="BA30" s="540"/>
    </row>
    <row r="31" spans="1:53" ht="24">
      <c r="A31" s="447"/>
      <c r="B31" s="487" t="s">
        <v>72</v>
      </c>
      <c r="C31" s="487" t="s">
        <v>73</v>
      </c>
      <c r="D31" s="487" t="s">
        <v>68</v>
      </c>
      <c r="E31" s="488" t="s">
        <v>68</v>
      </c>
      <c r="F31" s="487" t="s">
        <v>74</v>
      </c>
      <c r="G31" s="16" t="s">
        <v>75</v>
      </c>
      <c r="H31" s="16"/>
      <c r="I31" s="17">
        <v>1148780</v>
      </c>
      <c r="J31" s="17">
        <v>400000</v>
      </c>
      <c r="K31" s="17">
        <v>400000</v>
      </c>
      <c r="L31" s="17">
        <v>348780</v>
      </c>
      <c r="M31" s="17">
        <v>0</v>
      </c>
      <c r="N31" s="20">
        <f>J31+K31</f>
        <v>800000</v>
      </c>
      <c r="O31" s="136">
        <f t="shared" si="1"/>
        <v>69.639095388150906</v>
      </c>
      <c r="P31" s="20"/>
      <c r="Q31" s="472"/>
      <c r="R31" s="20"/>
      <c r="S31" s="20"/>
      <c r="T31" s="466">
        <f>P31+Q31</f>
        <v>0</v>
      </c>
      <c r="U31" s="472">
        <f t="shared" si="3"/>
        <v>0</v>
      </c>
      <c r="V31" s="472">
        <f t="shared" si="4"/>
        <v>800000</v>
      </c>
      <c r="W31" s="472">
        <f t="shared" si="5"/>
        <v>100</v>
      </c>
      <c r="X31" s="472">
        <f t="shared" si="6"/>
        <v>1148780</v>
      </c>
      <c r="Y31" s="472">
        <f t="shared" si="7"/>
        <v>100</v>
      </c>
    </row>
    <row r="32" spans="1:53" ht="24">
      <c r="A32" s="447"/>
      <c r="B32" s="487" t="s">
        <v>72</v>
      </c>
      <c r="C32" s="487" t="s">
        <v>73</v>
      </c>
      <c r="D32" s="487" t="s">
        <v>68</v>
      </c>
      <c r="E32" s="488" t="s">
        <v>68</v>
      </c>
      <c r="F32" s="487" t="s">
        <v>308</v>
      </c>
      <c r="G32" s="18" t="s">
        <v>309</v>
      </c>
      <c r="H32" s="18"/>
      <c r="I32" s="17">
        <v>476300</v>
      </c>
      <c r="J32" s="17">
        <v>476300</v>
      </c>
      <c r="K32" s="17">
        <v>0</v>
      </c>
      <c r="L32" s="17">
        <v>0</v>
      </c>
      <c r="M32" s="17">
        <v>0</v>
      </c>
      <c r="N32" s="20">
        <f t="shared" ref="N32:N36" si="27">J32+K32</f>
        <v>476300</v>
      </c>
      <c r="O32" s="136">
        <f t="shared" si="1"/>
        <v>100</v>
      </c>
      <c r="P32" s="20"/>
      <c r="Q32" s="472"/>
      <c r="R32" s="20"/>
      <c r="S32" s="20"/>
      <c r="T32" s="466">
        <f t="shared" ref="T32:T36" si="28">P32+Q32</f>
        <v>0</v>
      </c>
      <c r="U32" s="472">
        <f t="shared" si="3"/>
        <v>0</v>
      </c>
      <c r="V32" s="472">
        <f t="shared" si="4"/>
        <v>476300</v>
      </c>
      <c r="W32" s="472">
        <f t="shared" si="5"/>
        <v>100</v>
      </c>
      <c r="X32" s="472">
        <f t="shared" si="6"/>
        <v>476300</v>
      </c>
      <c r="Y32" s="472">
        <f t="shared" si="7"/>
        <v>100</v>
      </c>
    </row>
    <row r="33" spans="1:53">
      <c r="A33" s="447"/>
      <c r="B33" s="487" t="s">
        <v>72</v>
      </c>
      <c r="C33" s="487" t="s">
        <v>73</v>
      </c>
      <c r="D33" s="487" t="s">
        <v>68</v>
      </c>
      <c r="E33" s="488" t="s">
        <v>68</v>
      </c>
      <c r="F33" s="487" t="s">
        <v>76</v>
      </c>
      <c r="G33" s="16" t="s">
        <v>77</v>
      </c>
      <c r="H33" s="16"/>
      <c r="I33" s="17">
        <v>2750000</v>
      </c>
      <c r="J33" s="17">
        <v>650000</v>
      </c>
      <c r="K33" s="17">
        <v>750000</v>
      </c>
      <c r="L33" s="17">
        <v>750000</v>
      </c>
      <c r="M33" s="17">
        <v>600000</v>
      </c>
      <c r="N33" s="20">
        <f t="shared" si="27"/>
        <v>1400000</v>
      </c>
      <c r="O33" s="136">
        <f t="shared" si="1"/>
        <v>50.909090909090907</v>
      </c>
      <c r="P33" s="20"/>
      <c r="Q33" s="472">
        <f>639000</f>
        <v>639000</v>
      </c>
      <c r="R33" s="20"/>
      <c r="S33" s="20"/>
      <c r="T33" s="466">
        <f t="shared" si="28"/>
        <v>639000</v>
      </c>
      <c r="U33" s="472">
        <f t="shared" si="3"/>
        <v>45.642857142857139</v>
      </c>
      <c r="V33" s="472">
        <f t="shared" si="4"/>
        <v>761000</v>
      </c>
      <c r="W33" s="472">
        <f t="shared" si="5"/>
        <v>54.357142857142861</v>
      </c>
      <c r="X33" s="472">
        <f t="shared" si="6"/>
        <v>2111000</v>
      </c>
      <c r="Y33" s="472">
        <f t="shared" si="7"/>
        <v>76.763636363636365</v>
      </c>
    </row>
    <row r="34" spans="1:53" ht="24">
      <c r="A34" s="447"/>
      <c r="B34" s="487" t="s">
        <v>72</v>
      </c>
      <c r="C34" s="487" t="s">
        <v>73</v>
      </c>
      <c r="D34" s="487" t="s">
        <v>68</v>
      </c>
      <c r="E34" s="488" t="s">
        <v>68</v>
      </c>
      <c r="F34" s="487" t="s">
        <v>190</v>
      </c>
      <c r="G34" s="16" t="s">
        <v>310</v>
      </c>
      <c r="H34" s="16"/>
      <c r="I34" s="17">
        <v>2993000</v>
      </c>
      <c r="J34" s="17">
        <v>750000</v>
      </c>
      <c r="K34" s="17">
        <v>750000</v>
      </c>
      <c r="L34" s="17">
        <v>750000</v>
      </c>
      <c r="M34" s="17">
        <v>743000</v>
      </c>
      <c r="N34" s="20">
        <f t="shared" si="27"/>
        <v>1500000</v>
      </c>
      <c r="O34" s="136">
        <f t="shared" si="1"/>
        <v>50.116939525559637</v>
      </c>
      <c r="P34" s="20"/>
      <c r="Q34" s="472"/>
      <c r="R34" s="20"/>
      <c r="S34" s="20"/>
      <c r="T34" s="466">
        <f t="shared" si="28"/>
        <v>0</v>
      </c>
      <c r="U34" s="472">
        <f t="shared" si="3"/>
        <v>0</v>
      </c>
      <c r="V34" s="472">
        <f t="shared" si="4"/>
        <v>1500000</v>
      </c>
      <c r="W34" s="472">
        <f t="shared" si="5"/>
        <v>100</v>
      </c>
      <c r="X34" s="472">
        <f t="shared" si="6"/>
        <v>2993000</v>
      </c>
      <c r="Y34" s="472">
        <f t="shared" si="7"/>
        <v>100</v>
      </c>
    </row>
    <row r="35" spans="1:53">
      <c r="A35" s="447"/>
      <c r="B35" s="475" t="s">
        <v>72</v>
      </c>
      <c r="C35" s="475" t="s">
        <v>73</v>
      </c>
      <c r="D35" s="475" t="s">
        <v>68</v>
      </c>
      <c r="E35" s="478" t="s">
        <v>68</v>
      </c>
      <c r="F35" s="475" t="s">
        <v>78</v>
      </c>
      <c r="G35" s="19" t="s">
        <v>79</v>
      </c>
      <c r="H35" s="19"/>
      <c r="I35" s="13">
        <v>6825000</v>
      </c>
      <c r="J35" s="13">
        <v>1500000</v>
      </c>
      <c r="K35" s="13">
        <v>1750000</v>
      </c>
      <c r="L35" s="13">
        <v>1825000</v>
      </c>
      <c r="M35" s="17">
        <v>1750000</v>
      </c>
      <c r="N35" s="20">
        <f t="shared" si="27"/>
        <v>3250000</v>
      </c>
      <c r="O35" s="136">
        <f t="shared" si="1"/>
        <v>47.619047619047613</v>
      </c>
      <c r="P35" s="20"/>
      <c r="Q35" s="472"/>
      <c r="R35" s="20"/>
      <c r="S35" s="20"/>
      <c r="T35" s="466">
        <f t="shared" si="28"/>
        <v>0</v>
      </c>
      <c r="U35" s="472">
        <f t="shared" si="3"/>
        <v>0</v>
      </c>
      <c r="V35" s="472">
        <f t="shared" si="4"/>
        <v>3250000</v>
      </c>
      <c r="W35" s="472">
        <f t="shared" si="5"/>
        <v>100</v>
      </c>
      <c r="X35" s="472">
        <f t="shared" si="6"/>
        <v>6825000</v>
      </c>
      <c r="Y35" s="472">
        <f t="shared" si="7"/>
        <v>100</v>
      </c>
    </row>
    <row r="36" spans="1:53">
      <c r="A36" s="447"/>
      <c r="B36" s="475" t="s">
        <v>72</v>
      </c>
      <c r="C36" s="475" t="s">
        <v>73</v>
      </c>
      <c r="D36" s="475" t="s">
        <v>80</v>
      </c>
      <c r="E36" s="478" t="s">
        <v>68</v>
      </c>
      <c r="F36" s="475" t="s">
        <v>81</v>
      </c>
      <c r="G36" s="19" t="s">
        <v>82</v>
      </c>
      <c r="H36" s="19"/>
      <c r="I36" s="13">
        <v>16770000</v>
      </c>
      <c r="J36" s="13">
        <v>2670000</v>
      </c>
      <c r="K36" s="13">
        <v>5740000</v>
      </c>
      <c r="L36" s="13">
        <v>4240000</v>
      </c>
      <c r="M36" s="17">
        <v>4120000</v>
      </c>
      <c r="N36" s="20">
        <f t="shared" si="27"/>
        <v>8410000</v>
      </c>
      <c r="O36" s="136">
        <f t="shared" si="1"/>
        <v>50.149075730471083</v>
      </c>
      <c r="P36" s="20"/>
      <c r="Q36" s="472">
        <f>4368200</f>
        <v>4368200</v>
      </c>
      <c r="R36" s="20"/>
      <c r="S36" s="20"/>
      <c r="T36" s="472">
        <f t="shared" si="28"/>
        <v>4368200</v>
      </c>
      <c r="U36" s="472">
        <f t="shared" si="3"/>
        <v>51.940546967895365</v>
      </c>
      <c r="V36" s="472">
        <f t="shared" si="4"/>
        <v>4041800</v>
      </c>
      <c r="W36" s="472">
        <f t="shared" si="5"/>
        <v>48.059453032104635</v>
      </c>
      <c r="X36" s="472">
        <f t="shared" si="6"/>
        <v>12401800</v>
      </c>
      <c r="Y36" s="472">
        <f t="shared" si="7"/>
        <v>73.95229576624925</v>
      </c>
    </row>
    <row r="37" spans="1:53" s="226" customFormat="1">
      <c r="A37" s="447"/>
      <c r="B37" s="489">
        <v>1</v>
      </c>
      <c r="C37" s="489" t="s">
        <v>66</v>
      </c>
      <c r="D37" s="489" t="s">
        <v>68</v>
      </c>
      <c r="E37" s="490" t="s">
        <v>87</v>
      </c>
      <c r="F37" s="489"/>
      <c r="G37" s="491" t="s">
        <v>88</v>
      </c>
      <c r="H37" s="491"/>
      <c r="I37" s="492">
        <f>I38+I49</f>
        <v>2107340335</v>
      </c>
      <c r="J37" s="492">
        <f t="shared" ref="J37:N37" si="29">J38+J49</f>
        <v>862879680</v>
      </c>
      <c r="K37" s="492">
        <f t="shared" si="29"/>
        <v>578194429</v>
      </c>
      <c r="L37" s="492">
        <f t="shared" si="29"/>
        <v>333326613</v>
      </c>
      <c r="M37" s="492">
        <f t="shared" si="29"/>
        <v>332939613</v>
      </c>
      <c r="N37" s="492">
        <f t="shared" si="29"/>
        <v>1441074109</v>
      </c>
      <c r="O37" s="465">
        <f t="shared" si="1"/>
        <v>68.383548924953303</v>
      </c>
      <c r="P37" s="32">
        <f>P38+P49</f>
        <v>187130157</v>
      </c>
      <c r="Q37" s="466">
        <f t="shared" ref="Q37:T37" si="30">Q38+Q49</f>
        <v>566978078</v>
      </c>
      <c r="R37" s="32">
        <f t="shared" si="30"/>
        <v>0</v>
      </c>
      <c r="S37" s="32">
        <f t="shared" si="30"/>
        <v>0</v>
      </c>
      <c r="T37" s="32">
        <f t="shared" si="30"/>
        <v>754108235</v>
      </c>
      <c r="U37" s="466">
        <f t="shared" si="3"/>
        <v>52.32959431373699</v>
      </c>
      <c r="V37" s="472">
        <f t="shared" si="4"/>
        <v>686965874</v>
      </c>
      <c r="W37" s="472">
        <f t="shared" si="5"/>
        <v>47.67040568626301</v>
      </c>
      <c r="X37" s="472">
        <f t="shared" si="6"/>
        <v>1353232100</v>
      </c>
      <c r="Y37" s="472">
        <f t="shared" si="7"/>
        <v>64.215166270236082</v>
      </c>
      <c r="Z37" s="533"/>
      <c r="AA37" s="533"/>
      <c r="AB37" s="533"/>
      <c r="AC37" s="533"/>
      <c r="AD37" s="533"/>
      <c r="AE37" s="533"/>
      <c r="AF37" s="533"/>
      <c r="AG37" s="533"/>
      <c r="AH37" s="533"/>
      <c r="AI37" s="533"/>
      <c r="AJ37" s="533"/>
      <c r="AK37" s="533"/>
      <c r="AL37" s="533"/>
      <c r="AM37" s="533"/>
      <c r="AN37" s="533"/>
      <c r="AO37" s="533"/>
      <c r="AP37" s="533"/>
      <c r="AQ37" s="533"/>
      <c r="AR37" s="533"/>
      <c r="AS37" s="533"/>
      <c r="AT37" s="533"/>
      <c r="AU37" s="533"/>
      <c r="AV37" s="533"/>
      <c r="AW37" s="533"/>
      <c r="AX37" s="533"/>
      <c r="AY37" s="533"/>
      <c r="AZ37" s="533"/>
      <c r="BA37" s="533"/>
    </row>
    <row r="38" spans="1:53" s="484" customFormat="1">
      <c r="A38" s="481">
        <v>5</v>
      </c>
      <c r="B38" s="482">
        <v>1</v>
      </c>
      <c r="C38" s="482" t="s">
        <v>66</v>
      </c>
      <c r="D38" s="486" t="s">
        <v>68</v>
      </c>
      <c r="E38" s="482" t="s">
        <v>89</v>
      </c>
      <c r="F38" s="482" t="s">
        <v>68</v>
      </c>
      <c r="G38" s="146" t="s">
        <v>90</v>
      </c>
      <c r="H38" s="131" t="s">
        <v>307</v>
      </c>
      <c r="I38" s="144">
        <f>SUM(I39:I48)</f>
        <v>2067096135</v>
      </c>
      <c r="J38" s="144">
        <f t="shared" ref="J38:M38" si="31">SUM(J39:J48)</f>
        <v>851859680</v>
      </c>
      <c r="K38" s="144">
        <f t="shared" si="31"/>
        <v>568133229</v>
      </c>
      <c r="L38" s="144">
        <f t="shared" si="31"/>
        <v>323551613</v>
      </c>
      <c r="M38" s="144">
        <f t="shared" si="31"/>
        <v>323551613</v>
      </c>
      <c r="N38" s="144">
        <f>SUM(N39:N48)</f>
        <v>1419992909</v>
      </c>
      <c r="O38" s="133">
        <f t="shared" si="1"/>
        <v>68.695058974603512</v>
      </c>
      <c r="P38" s="483">
        <f>SUM(P39:P48)</f>
        <v>185130157</v>
      </c>
      <c r="Q38" s="134">
        <f t="shared" ref="Q38:T38" si="32">SUM(Q39:Q48)</f>
        <v>553656878</v>
      </c>
      <c r="R38" s="134">
        <f t="shared" si="32"/>
        <v>0</v>
      </c>
      <c r="S38" s="134">
        <f t="shared" si="32"/>
        <v>0</v>
      </c>
      <c r="T38" s="134">
        <f t="shared" si="32"/>
        <v>738787035</v>
      </c>
      <c r="U38" s="134">
        <f t="shared" si="3"/>
        <v>52.027515793742594</v>
      </c>
      <c r="V38" s="135">
        <f t="shared" si="4"/>
        <v>681205874</v>
      </c>
      <c r="W38" s="134">
        <f t="shared" si="5"/>
        <v>47.972484206257398</v>
      </c>
      <c r="X38" s="135">
        <f t="shared" si="6"/>
        <v>1328309100</v>
      </c>
      <c r="Y38" s="134">
        <f t="shared" si="7"/>
        <v>64.259667342467367</v>
      </c>
      <c r="Z38" s="540"/>
      <c r="AA38" s="540"/>
      <c r="AB38" s="540"/>
      <c r="AC38" s="540"/>
      <c r="AD38" s="540"/>
      <c r="AE38" s="540"/>
      <c r="AF38" s="540"/>
      <c r="AG38" s="540"/>
      <c r="AH38" s="540"/>
      <c r="AI38" s="540"/>
      <c r="AJ38" s="540"/>
      <c r="AK38" s="540"/>
      <c r="AL38" s="540"/>
      <c r="AM38" s="540"/>
      <c r="AN38" s="540"/>
      <c r="AO38" s="540"/>
      <c r="AP38" s="540"/>
      <c r="AQ38" s="540"/>
      <c r="AR38" s="540"/>
      <c r="AS38" s="540"/>
      <c r="AT38" s="540"/>
      <c r="AU38" s="540"/>
      <c r="AV38" s="540"/>
      <c r="AW38" s="540"/>
      <c r="AX38" s="540"/>
      <c r="AY38" s="540"/>
      <c r="AZ38" s="540"/>
      <c r="BA38" s="540"/>
    </row>
    <row r="39" spans="1:53">
      <c r="A39" s="447"/>
      <c r="B39" s="475" t="s">
        <v>72</v>
      </c>
      <c r="C39" s="475" t="s">
        <v>68</v>
      </c>
      <c r="D39" s="478" t="s">
        <v>68</v>
      </c>
      <c r="E39" s="478" t="s">
        <v>68</v>
      </c>
      <c r="F39" s="475" t="s">
        <v>81</v>
      </c>
      <c r="G39" s="19" t="s">
        <v>91</v>
      </c>
      <c r="H39" s="19"/>
      <c r="I39" s="13">
        <v>713986151</v>
      </c>
      <c r="J39" s="13">
        <v>428391690</v>
      </c>
      <c r="K39" s="13">
        <v>142797231</v>
      </c>
      <c r="L39" s="13">
        <v>71398615</v>
      </c>
      <c r="M39" s="17">
        <v>71398615</v>
      </c>
      <c r="N39" s="20">
        <f>J39+K39</f>
        <v>571188921</v>
      </c>
      <c r="O39" s="136">
        <f t="shared" si="1"/>
        <v>80.000000028011755</v>
      </c>
      <c r="P39" s="20">
        <f>42216200+5266100+38963800+5266100+39581100+5992800</f>
        <v>137286100</v>
      </c>
      <c r="Q39" s="472">
        <f>39821200+39581100+39821200+39927500+39821200</f>
        <v>198972200</v>
      </c>
      <c r="R39" s="20"/>
      <c r="S39" s="20"/>
      <c r="T39" s="472">
        <f>P39+Q39</f>
        <v>336258300</v>
      </c>
      <c r="U39" s="472">
        <f t="shared" si="3"/>
        <v>58.869891840916857</v>
      </c>
      <c r="V39" s="472">
        <f t="shared" si="4"/>
        <v>234930621</v>
      </c>
      <c r="W39" s="472">
        <f t="shared" si="5"/>
        <v>41.13010815908315</v>
      </c>
      <c r="X39" s="472">
        <f t="shared" si="6"/>
        <v>377727851</v>
      </c>
      <c r="Y39" s="472">
        <f t="shared" si="7"/>
        <v>52.90408651077604</v>
      </c>
    </row>
    <row r="40" spans="1:53">
      <c r="A40" s="485"/>
      <c r="B40" s="479" t="s">
        <v>72</v>
      </c>
      <c r="C40" s="479" t="s">
        <v>68</v>
      </c>
      <c r="D40" s="479" t="s">
        <v>68</v>
      </c>
      <c r="E40" s="479" t="s">
        <v>73</v>
      </c>
      <c r="F40" s="480" t="s">
        <v>81</v>
      </c>
      <c r="G40" s="12" t="s">
        <v>92</v>
      </c>
      <c r="H40" s="15"/>
      <c r="I40" s="14">
        <v>79378369</v>
      </c>
      <c r="J40" s="14">
        <v>47627021</v>
      </c>
      <c r="K40" s="14">
        <v>15875674</v>
      </c>
      <c r="L40" s="14">
        <v>7937837</v>
      </c>
      <c r="M40" s="138">
        <v>7937837</v>
      </c>
      <c r="N40" s="20">
        <f t="shared" ref="N40:N48" si="33">J40+K40</f>
        <v>63502695</v>
      </c>
      <c r="O40" s="136">
        <f t="shared" si="1"/>
        <v>79.9999997480422</v>
      </c>
      <c r="P40" s="20">
        <f>3907932+737254+3452596+737254+3522512+838992</f>
        <v>13196540</v>
      </c>
      <c r="Q40" s="472">
        <f>3556126+3522512+3556126+3556126+3556126</f>
        <v>17747016</v>
      </c>
      <c r="R40" s="20"/>
      <c r="S40" s="20"/>
      <c r="T40" s="472">
        <f t="shared" ref="T40:T48" si="34">P40+Q40</f>
        <v>30943556</v>
      </c>
      <c r="U40" s="472">
        <f t="shared" si="3"/>
        <v>48.727941388944203</v>
      </c>
      <c r="V40" s="472">
        <f t="shared" si="4"/>
        <v>32559139</v>
      </c>
      <c r="W40" s="472">
        <f t="shared" si="5"/>
        <v>51.27205861105579</v>
      </c>
      <c r="X40" s="472">
        <f t="shared" si="6"/>
        <v>48434813</v>
      </c>
      <c r="Y40" s="472">
        <f t="shared" si="7"/>
        <v>61.017647011618493</v>
      </c>
    </row>
    <row r="41" spans="1:53">
      <c r="A41" s="447"/>
      <c r="B41" s="479" t="s">
        <v>72</v>
      </c>
      <c r="C41" s="479" t="s">
        <v>68</v>
      </c>
      <c r="D41" s="480" t="s">
        <v>68</v>
      </c>
      <c r="E41" s="480" t="s">
        <v>93</v>
      </c>
      <c r="F41" s="479" t="s">
        <v>81</v>
      </c>
      <c r="G41" s="12" t="s">
        <v>94</v>
      </c>
      <c r="H41" s="12"/>
      <c r="I41" s="13">
        <v>146154750</v>
      </c>
      <c r="J41" s="13">
        <v>87692850</v>
      </c>
      <c r="K41" s="13">
        <v>29230950</v>
      </c>
      <c r="L41" s="13">
        <v>14615475</v>
      </c>
      <c r="M41" s="17">
        <v>14615475</v>
      </c>
      <c r="N41" s="20">
        <f t="shared" si="33"/>
        <v>116923800</v>
      </c>
      <c r="O41" s="136">
        <f t="shared" si="1"/>
        <v>80</v>
      </c>
      <c r="P41" s="20">
        <f>7700000+2025000+7160000+2025000+7160000</f>
        <v>26070000</v>
      </c>
      <c r="Q41" s="472">
        <f>7160000+7160000+7160000+7160000+7160000</f>
        <v>35800000</v>
      </c>
      <c r="R41" s="20"/>
      <c r="S41" s="20"/>
      <c r="T41" s="472">
        <f t="shared" si="34"/>
        <v>61870000</v>
      </c>
      <c r="U41" s="472">
        <f t="shared" si="3"/>
        <v>52.914804342657348</v>
      </c>
      <c r="V41" s="472">
        <f t="shared" si="4"/>
        <v>55053800</v>
      </c>
      <c r="W41" s="472">
        <f t="shared" si="5"/>
        <v>47.085195657342645</v>
      </c>
      <c r="X41" s="472">
        <f t="shared" si="6"/>
        <v>84284750</v>
      </c>
      <c r="Y41" s="472">
        <f t="shared" si="7"/>
        <v>57.668156525874117</v>
      </c>
    </row>
    <row r="42" spans="1:53">
      <c r="A42" s="447"/>
      <c r="B42" s="475" t="s">
        <v>72</v>
      </c>
      <c r="C42" s="475" t="s">
        <v>68</v>
      </c>
      <c r="D42" s="475" t="s">
        <v>68</v>
      </c>
      <c r="E42" s="475" t="s">
        <v>80</v>
      </c>
      <c r="F42" s="475" t="s">
        <v>81</v>
      </c>
      <c r="G42" s="12" t="s">
        <v>95</v>
      </c>
      <c r="H42" s="12"/>
      <c r="I42" s="13">
        <v>45360000</v>
      </c>
      <c r="J42" s="13">
        <v>27216000</v>
      </c>
      <c r="K42" s="13">
        <v>9072000</v>
      </c>
      <c r="L42" s="13">
        <v>4536000</v>
      </c>
      <c r="M42" s="17">
        <v>4536000</v>
      </c>
      <c r="N42" s="20">
        <f t="shared" si="33"/>
        <v>36288000</v>
      </c>
      <c r="O42" s="136">
        <f t="shared" si="1"/>
        <v>80</v>
      </c>
      <c r="P42" s="20"/>
      <c r="Q42" s="472"/>
      <c r="R42" s="20"/>
      <c r="S42" s="20"/>
      <c r="T42" s="472">
        <f t="shared" si="34"/>
        <v>0</v>
      </c>
      <c r="U42" s="472">
        <f t="shared" si="3"/>
        <v>0</v>
      </c>
      <c r="V42" s="472">
        <f t="shared" si="4"/>
        <v>36288000</v>
      </c>
      <c r="W42" s="472">
        <f t="shared" si="5"/>
        <v>100</v>
      </c>
      <c r="X42" s="472">
        <f t="shared" si="6"/>
        <v>45360000</v>
      </c>
      <c r="Y42" s="472">
        <f t="shared" si="7"/>
        <v>100</v>
      </c>
    </row>
    <row r="43" spans="1:53">
      <c r="A43" s="447"/>
      <c r="B43" s="475" t="s">
        <v>72</v>
      </c>
      <c r="C43" s="475" t="s">
        <v>68</v>
      </c>
      <c r="D43" s="475" t="s">
        <v>68</v>
      </c>
      <c r="E43" s="475" t="s">
        <v>66</v>
      </c>
      <c r="F43" s="475" t="s">
        <v>81</v>
      </c>
      <c r="G43" s="12" t="s">
        <v>96</v>
      </c>
      <c r="H43" s="12"/>
      <c r="I43" s="13">
        <v>14457625</v>
      </c>
      <c r="J43" s="13">
        <v>8674575</v>
      </c>
      <c r="K43" s="13">
        <v>2891526</v>
      </c>
      <c r="L43" s="13">
        <v>1445762</v>
      </c>
      <c r="M43" s="17">
        <v>1445762</v>
      </c>
      <c r="N43" s="20">
        <f t="shared" si="33"/>
        <v>11566101</v>
      </c>
      <c r="O43" s="136">
        <f t="shared" si="1"/>
        <v>80.000006916765372</v>
      </c>
      <c r="P43" s="20">
        <f>185000+185000+185000</f>
        <v>555000</v>
      </c>
      <c r="Q43" s="472">
        <f>185000+185000+185000+185000+185000</f>
        <v>925000</v>
      </c>
      <c r="R43" s="20"/>
      <c r="S43" s="20"/>
      <c r="T43" s="472">
        <f t="shared" si="34"/>
        <v>1480000</v>
      </c>
      <c r="U43" s="472">
        <f t="shared" si="3"/>
        <v>12.796014836806286</v>
      </c>
      <c r="V43" s="472">
        <f t="shared" si="4"/>
        <v>10086101</v>
      </c>
      <c r="W43" s="472">
        <f t="shared" si="5"/>
        <v>87.203985163193721</v>
      </c>
      <c r="X43" s="472">
        <f t="shared" si="6"/>
        <v>12977625</v>
      </c>
      <c r="Y43" s="472">
        <f t="shared" si="7"/>
        <v>89.763187245484644</v>
      </c>
    </row>
    <row r="44" spans="1:53">
      <c r="A44" s="447"/>
      <c r="B44" s="475" t="s">
        <v>72</v>
      </c>
      <c r="C44" s="475" t="s">
        <v>68</v>
      </c>
      <c r="D44" s="475" t="s">
        <v>68</v>
      </c>
      <c r="E44" s="475" t="s">
        <v>97</v>
      </c>
      <c r="F44" s="475" t="s">
        <v>81</v>
      </c>
      <c r="G44" s="12" t="s">
        <v>98</v>
      </c>
      <c r="H44" s="12"/>
      <c r="I44" s="13">
        <v>52554840</v>
      </c>
      <c r="J44" s="13">
        <v>31532904</v>
      </c>
      <c r="K44" s="13">
        <v>10510968</v>
      </c>
      <c r="L44" s="13">
        <v>5255484</v>
      </c>
      <c r="M44" s="17">
        <v>5255484</v>
      </c>
      <c r="N44" s="20">
        <f t="shared" si="33"/>
        <v>42043872</v>
      </c>
      <c r="O44" s="136">
        <f t="shared" si="1"/>
        <v>80</v>
      </c>
      <c r="P44" s="20">
        <f>2607120+289680+2317440+289680+2317440</f>
        <v>7821360</v>
      </c>
      <c r="Q44" s="472">
        <f>2317440+2317440+2317440+2317440+2317440</f>
        <v>11587200</v>
      </c>
      <c r="R44" s="20"/>
      <c r="S44" s="20"/>
      <c r="T44" s="472">
        <f t="shared" si="34"/>
        <v>19408560</v>
      </c>
      <c r="U44" s="472">
        <f t="shared" si="3"/>
        <v>46.162636971209501</v>
      </c>
      <c r="V44" s="472">
        <f t="shared" si="4"/>
        <v>22635312</v>
      </c>
      <c r="W44" s="472">
        <f t="shared" si="5"/>
        <v>53.837363028790499</v>
      </c>
      <c r="X44" s="472">
        <f t="shared" si="6"/>
        <v>33146280</v>
      </c>
      <c r="Y44" s="472">
        <f t="shared" si="7"/>
        <v>63.06989042303239</v>
      </c>
    </row>
    <row r="45" spans="1:53">
      <c r="A45" s="447"/>
      <c r="B45" s="475" t="s">
        <v>72</v>
      </c>
      <c r="C45" s="475" t="s">
        <v>68</v>
      </c>
      <c r="D45" s="478" t="s">
        <v>68</v>
      </c>
      <c r="E45" s="475" t="s">
        <v>85</v>
      </c>
      <c r="F45" s="478" t="s">
        <v>81</v>
      </c>
      <c r="G45" s="12" t="s">
        <v>99</v>
      </c>
      <c r="H45" s="12"/>
      <c r="I45" s="13">
        <v>4675000</v>
      </c>
      <c r="J45" s="13">
        <v>2805000</v>
      </c>
      <c r="K45" s="13">
        <v>935000</v>
      </c>
      <c r="L45" s="13">
        <v>467500</v>
      </c>
      <c r="M45" s="17">
        <v>467500</v>
      </c>
      <c r="N45" s="20">
        <f t="shared" si="33"/>
        <v>3740000</v>
      </c>
      <c r="O45" s="136">
        <f t="shared" si="1"/>
        <v>80</v>
      </c>
      <c r="P45" s="20">
        <f>99600+99600</f>
        <v>199200</v>
      </c>
      <c r="Q45" s="472">
        <f>417400+417400</f>
        <v>834800</v>
      </c>
      <c r="R45" s="20"/>
      <c r="S45" s="20"/>
      <c r="T45" s="472">
        <f t="shared" si="34"/>
        <v>1034000</v>
      </c>
      <c r="U45" s="472">
        <f t="shared" si="3"/>
        <v>27.647058823529413</v>
      </c>
      <c r="V45" s="472">
        <f t="shared" si="4"/>
        <v>2706000</v>
      </c>
      <c r="W45" s="472">
        <f t="shared" si="5"/>
        <v>72.35294117647058</v>
      </c>
      <c r="X45" s="472">
        <f t="shared" si="6"/>
        <v>3641000</v>
      </c>
      <c r="Y45" s="472">
        <f t="shared" si="7"/>
        <v>77.882352941176464</v>
      </c>
    </row>
    <row r="46" spans="1:53">
      <c r="A46" s="485"/>
      <c r="B46" s="475" t="s">
        <v>72</v>
      </c>
      <c r="C46" s="475" t="s">
        <v>68</v>
      </c>
      <c r="D46" s="475" t="s">
        <v>68</v>
      </c>
      <c r="E46" s="478" t="s">
        <v>100</v>
      </c>
      <c r="F46" s="475" t="s">
        <v>81</v>
      </c>
      <c r="G46" s="12" t="s">
        <v>101</v>
      </c>
      <c r="H46" s="12"/>
      <c r="I46" s="13">
        <v>49400</v>
      </c>
      <c r="J46" s="13">
        <v>29640</v>
      </c>
      <c r="K46" s="13">
        <v>9880</v>
      </c>
      <c r="L46" s="13">
        <v>4940</v>
      </c>
      <c r="M46" s="17">
        <v>4940</v>
      </c>
      <c r="N46" s="20">
        <f t="shared" si="33"/>
        <v>39520</v>
      </c>
      <c r="O46" s="136">
        <f t="shared" si="1"/>
        <v>80</v>
      </c>
      <c r="P46" s="20">
        <f>569+50+489+50+523+276</f>
        <v>1957</v>
      </c>
      <c r="Q46" s="472">
        <f>641+648+641+608+734</f>
        <v>3272</v>
      </c>
      <c r="R46" s="20"/>
      <c r="S46" s="20"/>
      <c r="T46" s="472">
        <f t="shared" si="34"/>
        <v>5229</v>
      </c>
      <c r="U46" s="472">
        <f t="shared" si="3"/>
        <v>13.231275303643725</v>
      </c>
      <c r="V46" s="472">
        <f t="shared" si="4"/>
        <v>34291</v>
      </c>
      <c r="W46" s="472">
        <f t="shared" si="5"/>
        <v>86.768724696356287</v>
      </c>
      <c r="X46" s="472">
        <f t="shared" si="6"/>
        <v>44171</v>
      </c>
      <c r="Y46" s="472">
        <f t="shared" si="7"/>
        <v>89.414979757085021</v>
      </c>
    </row>
    <row r="47" spans="1:53">
      <c r="A47" s="447"/>
      <c r="B47" s="475" t="s">
        <v>72</v>
      </c>
      <c r="C47" s="475" t="s">
        <v>68</v>
      </c>
      <c r="D47" s="475" t="s">
        <v>73</v>
      </c>
      <c r="E47" s="478" t="s">
        <v>68</v>
      </c>
      <c r="F47" s="478" t="s">
        <v>81</v>
      </c>
      <c r="G47" s="12" t="s">
        <v>102</v>
      </c>
      <c r="H47" s="12"/>
      <c r="I47" s="13">
        <v>972440000</v>
      </c>
      <c r="J47" s="13">
        <v>208380000</v>
      </c>
      <c r="K47" s="13">
        <v>347300000</v>
      </c>
      <c r="L47" s="13">
        <v>208380000</v>
      </c>
      <c r="M47" s="17">
        <v>208380000</v>
      </c>
      <c r="N47" s="20">
        <f t="shared" si="33"/>
        <v>555680000</v>
      </c>
      <c r="O47" s="136">
        <f t="shared" si="1"/>
        <v>57.142857142857139</v>
      </c>
      <c r="P47" s="20"/>
      <c r="Q47" s="472">
        <f>143135190+24295000+48101270+47960930+24295000</f>
        <v>287787390</v>
      </c>
      <c r="R47" s="20"/>
      <c r="S47" s="20"/>
      <c r="T47" s="472">
        <f t="shared" si="34"/>
        <v>287787390</v>
      </c>
      <c r="U47" s="472">
        <f t="shared" si="3"/>
        <v>51.790129211056723</v>
      </c>
      <c r="V47" s="472">
        <f t="shared" si="4"/>
        <v>267892610</v>
      </c>
      <c r="W47" s="472">
        <f t="shared" si="5"/>
        <v>48.209870788943277</v>
      </c>
      <c r="X47" s="472">
        <f t="shared" si="6"/>
        <v>684652610</v>
      </c>
      <c r="Y47" s="472">
        <f t="shared" si="7"/>
        <v>70.40564045082472</v>
      </c>
    </row>
    <row r="48" spans="1:53" ht="24">
      <c r="A48" s="447"/>
      <c r="B48" s="475" t="s">
        <v>72</v>
      </c>
      <c r="C48" s="478" t="s">
        <v>68</v>
      </c>
      <c r="D48" s="478" t="s">
        <v>73</v>
      </c>
      <c r="E48" s="478" t="s">
        <v>93</v>
      </c>
      <c r="F48" s="478" t="s">
        <v>81</v>
      </c>
      <c r="G48" s="12" t="s">
        <v>103</v>
      </c>
      <c r="H48" s="12"/>
      <c r="I48" s="13">
        <v>38040000</v>
      </c>
      <c r="J48" s="13">
        <v>9510000</v>
      </c>
      <c r="K48" s="13">
        <v>9510000</v>
      </c>
      <c r="L48" s="13">
        <v>9510000</v>
      </c>
      <c r="M48" s="17">
        <v>9510000</v>
      </c>
      <c r="N48" s="20">
        <f t="shared" si="33"/>
        <v>19020000</v>
      </c>
      <c r="O48" s="136">
        <f t="shared" si="1"/>
        <v>50</v>
      </c>
      <c r="P48" s="20"/>
      <c r="Q48" s="472"/>
      <c r="R48" s="20"/>
      <c r="S48" s="20"/>
      <c r="T48" s="472">
        <f t="shared" si="34"/>
        <v>0</v>
      </c>
      <c r="U48" s="472">
        <f t="shared" si="3"/>
        <v>0</v>
      </c>
      <c r="V48" s="472">
        <f t="shared" si="4"/>
        <v>19020000</v>
      </c>
      <c r="W48" s="472">
        <f t="shared" si="5"/>
        <v>100</v>
      </c>
      <c r="X48" s="472">
        <f t="shared" si="6"/>
        <v>38040000</v>
      </c>
      <c r="Y48" s="472">
        <f t="shared" si="7"/>
        <v>100</v>
      </c>
    </row>
    <row r="49" spans="1:53" s="484" customFormat="1" ht="24">
      <c r="A49" s="481">
        <v>6</v>
      </c>
      <c r="B49" s="482">
        <v>1</v>
      </c>
      <c r="C49" s="482" t="s">
        <v>66</v>
      </c>
      <c r="D49" s="482" t="s">
        <v>68</v>
      </c>
      <c r="E49" s="482" t="s">
        <v>89</v>
      </c>
      <c r="F49" s="482" t="s">
        <v>85</v>
      </c>
      <c r="G49" s="143" t="s">
        <v>104</v>
      </c>
      <c r="H49" s="131" t="s">
        <v>307</v>
      </c>
      <c r="I49" s="144">
        <f>SUM(I50:I56)</f>
        <v>40244200</v>
      </c>
      <c r="J49" s="144">
        <f t="shared" ref="J49:N49" si="35">SUM(J50:J56)</f>
        <v>11020000</v>
      </c>
      <c r="K49" s="144">
        <f t="shared" si="35"/>
        <v>10061200</v>
      </c>
      <c r="L49" s="144">
        <f t="shared" si="35"/>
        <v>9775000</v>
      </c>
      <c r="M49" s="144">
        <f t="shared" si="35"/>
        <v>9388000</v>
      </c>
      <c r="N49" s="144">
        <f t="shared" si="35"/>
        <v>21081200</v>
      </c>
      <c r="O49" s="133">
        <f t="shared" si="1"/>
        <v>52.38320056057767</v>
      </c>
      <c r="P49" s="483">
        <f>SUM(P50:P56)</f>
        <v>2000000</v>
      </c>
      <c r="Q49" s="134">
        <f t="shared" ref="Q49:T49" si="36">SUM(Q50:Q56)</f>
        <v>13321200</v>
      </c>
      <c r="R49" s="134">
        <f t="shared" si="36"/>
        <v>0</v>
      </c>
      <c r="S49" s="134">
        <f t="shared" si="36"/>
        <v>0</v>
      </c>
      <c r="T49" s="134">
        <f t="shared" si="36"/>
        <v>15321200</v>
      </c>
      <c r="U49" s="134">
        <f t="shared" si="3"/>
        <v>72.677077206231147</v>
      </c>
      <c r="V49" s="135">
        <f t="shared" si="4"/>
        <v>5760000</v>
      </c>
      <c r="W49" s="134">
        <f t="shared" si="5"/>
        <v>27.322922793768857</v>
      </c>
      <c r="X49" s="135">
        <f t="shared" si="6"/>
        <v>24923000</v>
      </c>
      <c r="Y49" s="134">
        <f t="shared" si="7"/>
        <v>61.929420885494061</v>
      </c>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c r="AY49" s="540"/>
      <c r="AZ49" s="540"/>
      <c r="BA49" s="540"/>
    </row>
    <row r="50" spans="1:53" ht="24">
      <c r="A50" s="447"/>
      <c r="B50" s="475" t="s">
        <v>72</v>
      </c>
      <c r="C50" s="475" t="s">
        <v>68</v>
      </c>
      <c r="D50" s="475" t="s">
        <v>93</v>
      </c>
      <c r="E50" s="475" t="s">
        <v>85</v>
      </c>
      <c r="F50" s="475" t="s">
        <v>81</v>
      </c>
      <c r="G50" s="12" t="s">
        <v>105</v>
      </c>
      <c r="H50" s="12"/>
      <c r="I50" s="13">
        <v>19800000</v>
      </c>
      <c r="J50" s="13">
        <v>4950000</v>
      </c>
      <c r="K50" s="13">
        <v>4950000</v>
      </c>
      <c r="L50" s="13">
        <v>4950000</v>
      </c>
      <c r="M50" s="17">
        <v>4950000</v>
      </c>
      <c r="N50" s="20">
        <f>J50+K50</f>
        <v>9900000</v>
      </c>
      <c r="O50" s="136">
        <f t="shared" si="1"/>
        <v>50</v>
      </c>
      <c r="P50" s="20"/>
      <c r="Q50" s="472">
        <f>4950000+1650000+1650000</f>
        <v>8250000</v>
      </c>
      <c r="R50" s="20"/>
      <c r="S50" s="20"/>
      <c r="T50" s="472">
        <f>P50+Q50</f>
        <v>8250000</v>
      </c>
      <c r="U50" s="472">
        <f t="shared" si="3"/>
        <v>83.333333333333343</v>
      </c>
      <c r="V50" s="472">
        <f t="shared" si="4"/>
        <v>1650000</v>
      </c>
      <c r="W50" s="472">
        <f t="shared" si="5"/>
        <v>16.666666666666664</v>
      </c>
      <c r="X50" s="472">
        <f t="shared" si="6"/>
        <v>11550000</v>
      </c>
      <c r="Y50" s="472">
        <f t="shared" si="7"/>
        <v>58.333333333333336</v>
      </c>
    </row>
    <row r="51" spans="1:53" ht="24">
      <c r="A51" s="447"/>
      <c r="B51" s="475" t="s">
        <v>72</v>
      </c>
      <c r="C51" s="475" t="s">
        <v>73</v>
      </c>
      <c r="D51" s="475" t="s">
        <v>68</v>
      </c>
      <c r="E51" s="475" t="s">
        <v>68</v>
      </c>
      <c r="F51" s="475" t="s">
        <v>74</v>
      </c>
      <c r="G51" s="12" t="s">
        <v>75</v>
      </c>
      <c r="H51" s="12"/>
      <c r="I51" s="13">
        <v>2437200</v>
      </c>
      <c r="J51" s="13">
        <v>600000</v>
      </c>
      <c r="K51" s="13">
        <v>637200</v>
      </c>
      <c r="L51" s="13">
        <v>600000</v>
      </c>
      <c r="M51" s="17">
        <v>600000</v>
      </c>
      <c r="N51" s="20">
        <f t="shared" ref="N51:N56" si="37">J51+K51</f>
        <v>1237200</v>
      </c>
      <c r="O51" s="136">
        <f t="shared" si="1"/>
        <v>50.763170851797149</v>
      </c>
      <c r="P51" s="20"/>
      <c r="Q51" s="472">
        <f>593000</f>
        <v>593000</v>
      </c>
      <c r="R51" s="20"/>
      <c r="S51" s="20"/>
      <c r="T51" s="472">
        <f t="shared" ref="T51:T56" si="38">P51+Q51</f>
        <v>593000</v>
      </c>
      <c r="U51" s="472">
        <f t="shared" si="3"/>
        <v>47.930811509860973</v>
      </c>
      <c r="V51" s="472">
        <f t="shared" si="4"/>
        <v>644200</v>
      </c>
      <c r="W51" s="472">
        <f t="shared" si="5"/>
        <v>52.069188490139027</v>
      </c>
      <c r="X51" s="472">
        <f t="shared" si="6"/>
        <v>1844200</v>
      </c>
      <c r="Y51" s="472">
        <f t="shared" si="7"/>
        <v>75.66880026259642</v>
      </c>
    </row>
    <row r="52" spans="1:53" ht="24">
      <c r="A52" s="485"/>
      <c r="B52" s="475" t="s">
        <v>72</v>
      </c>
      <c r="C52" s="475" t="s">
        <v>73</v>
      </c>
      <c r="D52" s="475" t="s">
        <v>68</v>
      </c>
      <c r="E52" s="478" t="s">
        <v>68</v>
      </c>
      <c r="F52" s="475" t="s">
        <v>308</v>
      </c>
      <c r="G52" s="12" t="s">
        <v>309</v>
      </c>
      <c r="H52" s="12"/>
      <c r="I52" s="13">
        <v>1124000</v>
      </c>
      <c r="J52" s="13">
        <v>500000</v>
      </c>
      <c r="K52" s="13">
        <v>624000</v>
      </c>
      <c r="L52" s="13">
        <v>0</v>
      </c>
      <c r="M52" s="17">
        <v>0</v>
      </c>
      <c r="N52" s="20">
        <f t="shared" si="37"/>
        <v>1124000</v>
      </c>
      <c r="O52" s="136">
        <f t="shared" si="1"/>
        <v>100</v>
      </c>
      <c r="P52" s="20"/>
      <c r="Q52" s="472">
        <f>493600+593000-593000</f>
        <v>493600</v>
      </c>
      <c r="R52" s="20"/>
      <c r="S52" s="20"/>
      <c r="T52" s="472">
        <f t="shared" si="38"/>
        <v>493600</v>
      </c>
      <c r="U52" s="472">
        <f t="shared" si="3"/>
        <v>43.914590747330962</v>
      </c>
      <c r="V52" s="472">
        <f t="shared" si="4"/>
        <v>630400</v>
      </c>
      <c r="W52" s="472">
        <f t="shared" si="5"/>
        <v>56.085409252669038</v>
      </c>
      <c r="X52" s="472">
        <f t="shared" si="6"/>
        <v>630400</v>
      </c>
      <c r="Y52" s="472">
        <f t="shared" si="7"/>
        <v>56.085409252669038</v>
      </c>
    </row>
    <row r="53" spans="1:53">
      <c r="A53" s="447"/>
      <c r="B53" s="479" t="s">
        <v>72</v>
      </c>
      <c r="C53" s="479" t="s">
        <v>73</v>
      </c>
      <c r="D53" s="479" t="s">
        <v>68</v>
      </c>
      <c r="E53" s="479" t="s">
        <v>68</v>
      </c>
      <c r="F53" s="480" t="s">
        <v>76</v>
      </c>
      <c r="G53" s="15" t="s">
        <v>77</v>
      </c>
      <c r="H53" s="15"/>
      <c r="I53" s="14">
        <v>1020000</v>
      </c>
      <c r="J53" s="14">
        <v>645000</v>
      </c>
      <c r="K53" s="14">
        <v>0</v>
      </c>
      <c r="L53" s="14">
        <v>375000</v>
      </c>
      <c r="M53" s="138">
        <v>0</v>
      </c>
      <c r="N53" s="20">
        <f t="shared" si="37"/>
        <v>645000</v>
      </c>
      <c r="O53" s="136">
        <f t="shared" si="1"/>
        <v>63.235294117647058</v>
      </c>
      <c r="P53" s="20"/>
      <c r="Q53" s="472">
        <f>525000</f>
        <v>525000</v>
      </c>
      <c r="R53" s="20"/>
      <c r="S53" s="20"/>
      <c r="T53" s="472">
        <f t="shared" si="38"/>
        <v>525000</v>
      </c>
      <c r="U53" s="472">
        <f t="shared" si="3"/>
        <v>81.395348837209298</v>
      </c>
      <c r="V53" s="472">
        <f t="shared" si="4"/>
        <v>120000</v>
      </c>
      <c r="W53" s="472">
        <f t="shared" si="5"/>
        <v>18.604651162790699</v>
      </c>
      <c r="X53" s="472">
        <f t="shared" si="6"/>
        <v>495000</v>
      </c>
      <c r="Y53" s="472">
        <f t="shared" si="7"/>
        <v>48.529411764705884</v>
      </c>
    </row>
    <row r="54" spans="1:53" ht="24">
      <c r="A54" s="447"/>
      <c r="B54" s="475" t="s">
        <v>72</v>
      </c>
      <c r="C54" s="475" t="s">
        <v>73</v>
      </c>
      <c r="D54" s="478" t="s">
        <v>68</v>
      </c>
      <c r="E54" s="475" t="s">
        <v>68</v>
      </c>
      <c r="F54" s="478" t="s">
        <v>190</v>
      </c>
      <c r="G54" s="12" t="s">
        <v>310</v>
      </c>
      <c r="H54" s="12"/>
      <c r="I54" s="13">
        <v>3338000</v>
      </c>
      <c r="J54" s="13">
        <v>800000</v>
      </c>
      <c r="K54" s="13">
        <v>850000</v>
      </c>
      <c r="L54" s="13">
        <v>850000</v>
      </c>
      <c r="M54" s="17">
        <v>838000</v>
      </c>
      <c r="N54" s="20">
        <f t="shared" si="37"/>
        <v>1650000</v>
      </c>
      <c r="O54" s="136">
        <f t="shared" si="1"/>
        <v>49.430796884361897</v>
      </c>
      <c r="P54" s="20"/>
      <c r="Q54" s="472">
        <f>459600</f>
        <v>459600</v>
      </c>
      <c r="R54" s="20"/>
      <c r="S54" s="20"/>
      <c r="T54" s="472">
        <f t="shared" si="38"/>
        <v>459600</v>
      </c>
      <c r="U54" s="472">
        <f t="shared" si="3"/>
        <v>27.854545454545455</v>
      </c>
      <c r="V54" s="472">
        <f t="shared" si="4"/>
        <v>1190400</v>
      </c>
      <c r="W54" s="472">
        <f t="shared" si="5"/>
        <v>72.145454545454541</v>
      </c>
      <c r="X54" s="472">
        <f t="shared" si="6"/>
        <v>2878400</v>
      </c>
      <c r="Y54" s="472">
        <f t="shared" si="7"/>
        <v>86.231276213301385</v>
      </c>
    </row>
    <row r="55" spans="1:53">
      <c r="A55" s="447"/>
      <c r="B55" s="475" t="s">
        <v>72</v>
      </c>
      <c r="C55" s="475" t="s">
        <v>73</v>
      </c>
      <c r="D55" s="478" t="s">
        <v>68</v>
      </c>
      <c r="E55" s="478" t="s">
        <v>68</v>
      </c>
      <c r="F55" s="478" t="s">
        <v>78</v>
      </c>
      <c r="G55" s="12" t="s">
        <v>79</v>
      </c>
      <c r="H55" s="12"/>
      <c r="I55" s="13">
        <v>525000</v>
      </c>
      <c r="J55" s="13">
        <v>525000</v>
      </c>
      <c r="K55" s="13">
        <v>0</v>
      </c>
      <c r="L55" s="13">
        <v>0</v>
      </c>
      <c r="M55" s="17">
        <v>0</v>
      </c>
      <c r="N55" s="20">
        <f t="shared" si="37"/>
        <v>525000</v>
      </c>
      <c r="O55" s="136">
        <f t="shared" si="1"/>
        <v>100</v>
      </c>
      <c r="P55" s="20"/>
      <c r="Q55" s="472"/>
      <c r="R55" s="20"/>
      <c r="S55" s="20"/>
      <c r="T55" s="472">
        <f t="shared" si="38"/>
        <v>0</v>
      </c>
      <c r="U55" s="472">
        <f t="shared" si="3"/>
        <v>0</v>
      </c>
      <c r="V55" s="472">
        <f t="shared" si="4"/>
        <v>525000</v>
      </c>
      <c r="W55" s="472">
        <f t="shared" si="5"/>
        <v>100</v>
      </c>
      <c r="X55" s="472">
        <f t="shared" si="6"/>
        <v>525000</v>
      </c>
      <c r="Y55" s="472">
        <f t="shared" si="7"/>
        <v>100</v>
      </c>
    </row>
    <row r="56" spans="1:53">
      <c r="A56" s="485"/>
      <c r="B56" s="475" t="s">
        <v>72</v>
      </c>
      <c r="C56" s="475" t="s">
        <v>73</v>
      </c>
      <c r="D56" s="475" t="s">
        <v>73</v>
      </c>
      <c r="E56" s="478" t="s">
        <v>68</v>
      </c>
      <c r="F56" s="475" t="s">
        <v>106</v>
      </c>
      <c r="G56" s="12" t="s">
        <v>107</v>
      </c>
      <c r="H56" s="12"/>
      <c r="I56" s="13">
        <v>12000000</v>
      </c>
      <c r="J56" s="13">
        <v>3000000</v>
      </c>
      <c r="K56" s="13">
        <v>3000000</v>
      </c>
      <c r="L56" s="13">
        <v>3000000</v>
      </c>
      <c r="M56" s="17">
        <v>3000000</v>
      </c>
      <c r="N56" s="20">
        <f t="shared" si="37"/>
        <v>6000000</v>
      </c>
      <c r="O56" s="136">
        <f t="shared" si="1"/>
        <v>50</v>
      </c>
      <c r="P56" s="20">
        <f>1000000+1000000</f>
        <v>2000000</v>
      </c>
      <c r="Q56" s="472">
        <f>1000000+1000000+1000000</f>
        <v>3000000</v>
      </c>
      <c r="R56" s="20"/>
      <c r="S56" s="20"/>
      <c r="T56" s="472">
        <f t="shared" si="38"/>
        <v>5000000</v>
      </c>
      <c r="U56" s="472">
        <f t="shared" si="3"/>
        <v>83.333333333333343</v>
      </c>
      <c r="V56" s="472">
        <f t="shared" si="4"/>
        <v>1000000</v>
      </c>
      <c r="W56" s="472">
        <f t="shared" si="5"/>
        <v>16.666666666666664</v>
      </c>
      <c r="X56" s="472">
        <f t="shared" si="6"/>
        <v>7000000</v>
      </c>
      <c r="Y56" s="472">
        <f t="shared" si="7"/>
        <v>58.333333333333336</v>
      </c>
    </row>
    <row r="57" spans="1:53" s="226" customFormat="1" ht="24">
      <c r="A57" s="447"/>
      <c r="B57" s="489">
        <v>1</v>
      </c>
      <c r="C57" s="489" t="s">
        <v>66</v>
      </c>
      <c r="D57" s="489" t="s">
        <v>68</v>
      </c>
      <c r="E57" s="490" t="s">
        <v>108</v>
      </c>
      <c r="F57" s="490"/>
      <c r="G57" s="493" t="s">
        <v>109</v>
      </c>
      <c r="H57" s="493"/>
      <c r="I57" s="492">
        <f>I58</f>
        <v>17949800</v>
      </c>
      <c r="J57" s="492">
        <f t="shared" ref="J57:N57" si="39">J58</f>
        <v>7333300</v>
      </c>
      <c r="K57" s="492">
        <f t="shared" si="39"/>
        <v>3150000</v>
      </c>
      <c r="L57" s="492">
        <f t="shared" si="39"/>
        <v>4316500</v>
      </c>
      <c r="M57" s="492">
        <f t="shared" si="39"/>
        <v>3150000</v>
      </c>
      <c r="N57" s="492">
        <f t="shared" si="39"/>
        <v>10483300</v>
      </c>
      <c r="O57" s="465">
        <f t="shared" si="1"/>
        <v>58.403436249986072</v>
      </c>
      <c r="P57" s="32">
        <f>P58</f>
        <v>0</v>
      </c>
      <c r="Q57" s="466">
        <f>Q58</f>
        <v>6239700</v>
      </c>
      <c r="R57" s="452">
        <f t="shared" ref="R57:T57" si="40">R58</f>
        <v>0</v>
      </c>
      <c r="S57" s="452">
        <f t="shared" si="40"/>
        <v>0</v>
      </c>
      <c r="T57" s="466">
        <f t="shared" si="40"/>
        <v>6239700</v>
      </c>
      <c r="U57" s="466">
        <f t="shared" si="3"/>
        <v>59.520380033004869</v>
      </c>
      <c r="V57" s="472">
        <f t="shared" si="4"/>
        <v>4243600</v>
      </c>
      <c r="W57" s="472">
        <f t="shared" si="5"/>
        <v>40.479619966995124</v>
      </c>
      <c r="X57" s="472">
        <f t="shared" si="6"/>
        <v>11710100</v>
      </c>
      <c r="Y57" s="472">
        <f t="shared" si="7"/>
        <v>65.238052791674562</v>
      </c>
      <c r="Z57" s="533"/>
      <c r="AA57" s="533"/>
      <c r="AB57" s="533"/>
      <c r="AC57" s="533"/>
      <c r="AD57" s="533"/>
      <c r="AE57" s="533"/>
      <c r="AF57" s="533"/>
      <c r="AG57" s="533"/>
      <c r="AH57" s="533"/>
      <c r="AI57" s="533"/>
      <c r="AJ57" s="533"/>
      <c r="AK57" s="533"/>
      <c r="AL57" s="533"/>
      <c r="AM57" s="533"/>
      <c r="AN57" s="533"/>
      <c r="AO57" s="533"/>
      <c r="AP57" s="533"/>
      <c r="AQ57" s="533"/>
      <c r="AR57" s="533"/>
      <c r="AS57" s="533"/>
      <c r="AT57" s="533"/>
      <c r="AU57" s="533"/>
      <c r="AV57" s="533"/>
      <c r="AW57" s="533"/>
      <c r="AX57" s="533"/>
      <c r="AY57" s="533"/>
      <c r="AZ57" s="533"/>
      <c r="BA57" s="533"/>
    </row>
    <row r="58" spans="1:53" s="484" customFormat="1">
      <c r="A58" s="481">
        <v>7</v>
      </c>
      <c r="B58" s="482">
        <v>1</v>
      </c>
      <c r="C58" s="482" t="s">
        <v>66</v>
      </c>
      <c r="D58" s="486" t="s">
        <v>68</v>
      </c>
      <c r="E58" s="482" t="s">
        <v>108</v>
      </c>
      <c r="F58" s="486" t="s">
        <v>97</v>
      </c>
      <c r="G58" s="143" t="s">
        <v>110</v>
      </c>
      <c r="H58" s="147" t="s">
        <v>311</v>
      </c>
      <c r="I58" s="144">
        <f>SUM(I59:I64)</f>
        <v>17949800</v>
      </c>
      <c r="J58" s="144">
        <f t="shared" ref="J58:N58" si="41">SUM(J59:J64)</f>
        <v>7333300</v>
      </c>
      <c r="K58" s="144">
        <f t="shared" si="41"/>
        <v>3150000</v>
      </c>
      <c r="L58" s="144">
        <f t="shared" si="41"/>
        <v>4316500</v>
      </c>
      <c r="M58" s="144">
        <f t="shared" si="41"/>
        <v>3150000</v>
      </c>
      <c r="N58" s="144">
        <f t="shared" si="41"/>
        <v>10483300</v>
      </c>
      <c r="O58" s="133">
        <f t="shared" si="1"/>
        <v>58.403436249986072</v>
      </c>
      <c r="P58" s="483">
        <f>SUM(P59:P64)</f>
        <v>0</v>
      </c>
      <c r="Q58" s="134">
        <f t="shared" ref="Q58:T58" si="42">SUM(Q59:Q64)</f>
        <v>6239700</v>
      </c>
      <c r="R58" s="134">
        <f t="shared" si="42"/>
        <v>0</v>
      </c>
      <c r="S58" s="134">
        <f t="shared" si="42"/>
        <v>0</v>
      </c>
      <c r="T58" s="134">
        <f t="shared" si="42"/>
        <v>6239700</v>
      </c>
      <c r="U58" s="134">
        <f t="shared" si="3"/>
        <v>59.520380033004869</v>
      </c>
      <c r="V58" s="135">
        <f t="shared" si="4"/>
        <v>4243600</v>
      </c>
      <c r="W58" s="134">
        <f t="shared" si="5"/>
        <v>40.479619966995124</v>
      </c>
      <c r="X58" s="135">
        <f t="shared" si="6"/>
        <v>11710100</v>
      </c>
      <c r="Y58" s="134">
        <f t="shared" si="7"/>
        <v>65.238052791674562</v>
      </c>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0"/>
      <c r="AY58" s="540"/>
      <c r="AZ58" s="540"/>
      <c r="BA58" s="540"/>
    </row>
    <row r="59" spans="1:53" ht="24">
      <c r="A59" s="485"/>
      <c r="B59" s="475" t="s">
        <v>72</v>
      </c>
      <c r="C59" s="475" t="s">
        <v>68</v>
      </c>
      <c r="D59" s="475" t="s">
        <v>93</v>
      </c>
      <c r="E59" s="475" t="s">
        <v>100</v>
      </c>
      <c r="F59" s="478" t="s">
        <v>111</v>
      </c>
      <c r="G59" s="12" t="s">
        <v>112</v>
      </c>
      <c r="H59" s="12"/>
      <c r="I59" s="13">
        <v>12600000</v>
      </c>
      <c r="J59" s="13">
        <v>3150000</v>
      </c>
      <c r="K59" s="13">
        <v>3150000</v>
      </c>
      <c r="L59" s="13">
        <v>3150000</v>
      </c>
      <c r="M59" s="17">
        <v>3150000</v>
      </c>
      <c r="N59" s="20">
        <f>J59+K59</f>
        <v>6300000</v>
      </c>
      <c r="O59" s="136">
        <f t="shared" si="1"/>
        <v>50</v>
      </c>
      <c r="P59" s="20"/>
      <c r="Q59" s="472">
        <f>3150000+1050000+1050000</f>
        <v>5250000</v>
      </c>
      <c r="R59" s="20"/>
      <c r="S59" s="20"/>
      <c r="T59" s="472">
        <f>P59+Q59</f>
        <v>5250000</v>
      </c>
      <c r="U59" s="472">
        <f t="shared" si="3"/>
        <v>83.333333333333343</v>
      </c>
      <c r="V59" s="472">
        <f t="shared" si="4"/>
        <v>1050000</v>
      </c>
      <c r="W59" s="472">
        <f t="shared" si="5"/>
        <v>16.666666666666664</v>
      </c>
      <c r="X59" s="472">
        <f t="shared" si="6"/>
        <v>7350000</v>
      </c>
      <c r="Y59" s="472">
        <f t="shared" si="7"/>
        <v>58.333333333333336</v>
      </c>
    </row>
    <row r="60" spans="1:53" ht="24">
      <c r="A60" s="447"/>
      <c r="B60" s="475" t="s">
        <v>72</v>
      </c>
      <c r="C60" s="475" t="s">
        <v>73</v>
      </c>
      <c r="D60" s="475" t="s">
        <v>68</v>
      </c>
      <c r="E60" s="475" t="s">
        <v>68</v>
      </c>
      <c r="F60" s="478" t="s">
        <v>74</v>
      </c>
      <c r="G60" s="12" t="s">
        <v>75</v>
      </c>
      <c r="H60" s="12"/>
      <c r="I60" s="13">
        <v>452300</v>
      </c>
      <c r="J60" s="13">
        <v>452300</v>
      </c>
      <c r="K60" s="13">
        <v>0</v>
      </c>
      <c r="L60" s="13">
        <v>0</v>
      </c>
      <c r="M60" s="17">
        <v>0</v>
      </c>
      <c r="N60" s="20">
        <f t="shared" ref="N60:N64" si="43">J60+K60</f>
        <v>452300</v>
      </c>
      <c r="O60" s="136">
        <f t="shared" si="1"/>
        <v>100</v>
      </c>
      <c r="P60" s="20"/>
      <c r="Q60" s="472">
        <f>444000</f>
        <v>444000</v>
      </c>
      <c r="R60" s="20"/>
      <c r="S60" s="20"/>
      <c r="T60" s="472">
        <f t="shared" ref="T60:T64" si="44">P60+Q60</f>
        <v>444000</v>
      </c>
      <c r="U60" s="472">
        <f t="shared" si="3"/>
        <v>98.164934777802344</v>
      </c>
      <c r="V60" s="472">
        <f t="shared" si="4"/>
        <v>8300</v>
      </c>
      <c r="W60" s="472">
        <f t="shared" si="5"/>
        <v>1.8350652221976564</v>
      </c>
      <c r="X60" s="472">
        <f t="shared" si="6"/>
        <v>8300</v>
      </c>
      <c r="Y60" s="472">
        <f t="shared" si="7"/>
        <v>1.8350652221976564</v>
      </c>
    </row>
    <row r="61" spans="1:53" ht="24">
      <c r="A61" s="447"/>
      <c r="B61" s="475" t="s">
        <v>72</v>
      </c>
      <c r="C61" s="475" t="s">
        <v>73</v>
      </c>
      <c r="D61" s="475" t="s">
        <v>68</v>
      </c>
      <c r="E61" s="475" t="s">
        <v>68</v>
      </c>
      <c r="F61" s="478" t="s">
        <v>308</v>
      </c>
      <c r="G61" s="12" t="s">
        <v>309</v>
      </c>
      <c r="H61" s="12"/>
      <c r="I61" s="13">
        <v>490500</v>
      </c>
      <c r="J61" s="13">
        <v>250000</v>
      </c>
      <c r="K61" s="13">
        <v>0</v>
      </c>
      <c r="L61" s="13">
        <v>240500</v>
      </c>
      <c r="M61" s="17">
        <v>0</v>
      </c>
      <c r="N61" s="20">
        <f t="shared" si="43"/>
        <v>250000</v>
      </c>
      <c r="O61" s="136">
        <f t="shared" si="1"/>
        <v>50.968399592252801</v>
      </c>
      <c r="P61" s="20"/>
      <c r="Q61" s="472">
        <f>247700</f>
        <v>247700</v>
      </c>
      <c r="R61" s="20"/>
      <c r="S61" s="20"/>
      <c r="T61" s="472">
        <f t="shared" si="44"/>
        <v>247700</v>
      </c>
      <c r="U61" s="472">
        <f t="shared" si="3"/>
        <v>99.08</v>
      </c>
      <c r="V61" s="472">
        <f t="shared" si="4"/>
        <v>2300</v>
      </c>
      <c r="W61" s="472">
        <f t="shared" si="5"/>
        <v>0.91999999999999993</v>
      </c>
      <c r="X61" s="472">
        <f t="shared" si="6"/>
        <v>242800</v>
      </c>
      <c r="Y61" s="472">
        <f t="shared" si="7"/>
        <v>49.500509683995922</v>
      </c>
    </row>
    <row r="62" spans="1:53">
      <c r="A62" s="485"/>
      <c r="B62" s="475" t="s">
        <v>72</v>
      </c>
      <c r="C62" s="475" t="s">
        <v>73</v>
      </c>
      <c r="D62" s="475" t="s">
        <v>68</v>
      </c>
      <c r="E62" s="475" t="s">
        <v>68</v>
      </c>
      <c r="F62" s="478" t="s">
        <v>76</v>
      </c>
      <c r="G62" s="12" t="s">
        <v>77</v>
      </c>
      <c r="H62" s="12"/>
      <c r="I62" s="13">
        <v>744000</v>
      </c>
      <c r="J62" s="13">
        <v>350000</v>
      </c>
      <c r="K62" s="13">
        <v>0</v>
      </c>
      <c r="L62" s="13">
        <v>394000</v>
      </c>
      <c r="M62" s="17">
        <v>0</v>
      </c>
      <c r="N62" s="20">
        <f t="shared" si="43"/>
        <v>350000</v>
      </c>
      <c r="O62" s="136">
        <f t="shared" si="1"/>
        <v>47.043010752688176</v>
      </c>
      <c r="P62" s="20"/>
      <c r="Q62" s="472"/>
      <c r="R62" s="20"/>
      <c r="S62" s="20"/>
      <c r="T62" s="472">
        <f t="shared" si="44"/>
        <v>0</v>
      </c>
      <c r="U62" s="472">
        <f t="shared" si="3"/>
        <v>0</v>
      </c>
      <c r="V62" s="472">
        <f t="shared" si="4"/>
        <v>350000</v>
      </c>
      <c r="W62" s="472">
        <f t="shared" si="5"/>
        <v>100</v>
      </c>
      <c r="X62" s="472">
        <f t="shared" si="6"/>
        <v>744000</v>
      </c>
      <c r="Y62" s="472">
        <f t="shared" si="7"/>
        <v>100</v>
      </c>
    </row>
    <row r="63" spans="1:53" ht="24">
      <c r="A63" s="485"/>
      <c r="B63" s="475" t="s">
        <v>72</v>
      </c>
      <c r="C63" s="475" t="s">
        <v>73</v>
      </c>
      <c r="D63" s="475" t="s">
        <v>68</v>
      </c>
      <c r="E63" s="475" t="s">
        <v>68</v>
      </c>
      <c r="F63" s="475" t="s">
        <v>190</v>
      </c>
      <c r="G63" s="12" t="s">
        <v>310</v>
      </c>
      <c r="H63" s="12"/>
      <c r="I63" s="13">
        <v>993000</v>
      </c>
      <c r="J63" s="13">
        <v>461000</v>
      </c>
      <c r="K63" s="13">
        <v>0</v>
      </c>
      <c r="L63" s="13">
        <v>532000</v>
      </c>
      <c r="M63" s="17">
        <v>0</v>
      </c>
      <c r="N63" s="20">
        <f t="shared" si="43"/>
        <v>461000</v>
      </c>
      <c r="O63" s="136">
        <f t="shared" si="1"/>
        <v>46.424974823766362</v>
      </c>
      <c r="P63" s="20"/>
      <c r="Q63" s="472">
        <f>298000</f>
        <v>298000</v>
      </c>
      <c r="R63" s="20"/>
      <c r="S63" s="20"/>
      <c r="T63" s="472">
        <f t="shared" si="44"/>
        <v>298000</v>
      </c>
      <c r="U63" s="472">
        <f t="shared" si="3"/>
        <v>64.642082429501073</v>
      </c>
      <c r="V63" s="472">
        <f t="shared" si="4"/>
        <v>163000</v>
      </c>
      <c r="W63" s="472">
        <f t="shared" si="5"/>
        <v>35.357917570498913</v>
      </c>
      <c r="X63" s="472">
        <f t="shared" si="6"/>
        <v>695000</v>
      </c>
      <c r="Y63" s="472">
        <f t="shared" si="7"/>
        <v>69.98992950654582</v>
      </c>
    </row>
    <row r="64" spans="1:53">
      <c r="A64" s="485"/>
      <c r="B64" s="475" t="s">
        <v>72</v>
      </c>
      <c r="C64" s="475" t="s">
        <v>73</v>
      </c>
      <c r="D64" s="475" t="s">
        <v>80</v>
      </c>
      <c r="E64" s="475" t="s">
        <v>68</v>
      </c>
      <c r="F64" s="478" t="s">
        <v>81</v>
      </c>
      <c r="G64" s="12" t="s">
        <v>82</v>
      </c>
      <c r="H64" s="12"/>
      <c r="I64" s="13">
        <v>2670000</v>
      </c>
      <c r="J64" s="13">
        <v>2670000</v>
      </c>
      <c r="K64" s="13">
        <v>0</v>
      </c>
      <c r="L64" s="13">
        <v>0</v>
      </c>
      <c r="M64" s="17">
        <v>0</v>
      </c>
      <c r="N64" s="20">
        <f t="shared" si="43"/>
        <v>2670000</v>
      </c>
      <c r="O64" s="136">
        <f t="shared" si="1"/>
        <v>100</v>
      </c>
      <c r="P64" s="20"/>
      <c r="Q64" s="472"/>
      <c r="R64" s="20"/>
      <c r="S64" s="20"/>
      <c r="T64" s="472">
        <f t="shared" si="44"/>
        <v>0</v>
      </c>
      <c r="U64" s="472">
        <f t="shared" si="3"/>
        <v>0</v>
      </c>
      <c r="V64" s="472">
        <f t="shared" si="4"/>
        <v>2670000</v>
      </c>
      <c r="W64" s="472">
        <f t="shared" si="5"/>
        <v>100</v>
      </c>
      <c r="X64" s="472">
        <f t="shared" si="6"/>
        <v>2670000</v>
      </c>
      <c r="Y64" s="472">
        <f t="shared" si="7"/>
        <v>100</v>
      </c>
    </row>
    <row r="65" spans="1:53" s="226" customFormat="1">
      <c r="A65" s="447"/>
      <c r="B65" s="489">
        <v>1</v>
      </c>
      <c r="C65" s="489" t="s">
        <v>66</v>
      </c>
      <c r="D65" s="490" t="s">
        <v>68</v>
      </c>
      <c r="E65" s="489" t="s">
        <v>113</v>
      </c>
      <c r="F65" s="490"/>
      <c r="G65" s="493" t="s">
        <v>114</v>
      </c>
      <c r="H65" s="493"/>
      <c r="I65" s="492">
        <f>I66</f>
        <v>35500000</v>
      </c>
      <c r="J65" s="492">
        <f t="shared" ref="J65:N65" si="45">J66</f>
        <v>10800000</v>
      </c>
      <c r="K65" s="492">
        <f t="shared" si="45"/>
        <v>11810000</v>
      </c>
      <c r="L65" s="492">
        <f t="shared" si="45"/>
        <v>10280000</v>
      </c>
      <c r="M65" s="492">
        <f t="shared" si="45"/>
        <v>2610000</v>
      </c>
      <c r="N65" s="492">
        <f t="shared" si="45"/>
        <v>22610000</v>
      </c>
      <c r="O65" s="465">
        <f t="shared" si="1"/>
        <v>63.690140845070417</v>
      </c>
      <c r="P65" s="32">
        <f>P66</f>
        <v>0</v>
      </c>
      <c r="Q65" s="466">
        <f t="shared" ref="Q65:T65" si="46">Q66</f>
        <v>11308686</v>
      </c>
      <c r="R65" s="32">
        <f t="shared" si="46"/>
        <v>0</v>
      </c>
      <c r="S65" s="32">
        <f t="shared" si="46"/>
        <v>0</v>
      </c>
      <c r="T65" s="32">
        <f t="shared" si="46"/>
        <v>11308686</v>
      </c>
      <c r="U65" s="466">
        <f t="shared" si="3"/>
        <v>50.016302521008406</v>
      </c>
      <c r="V65" s="472">
        <f t="shared" si="4"/>
        <v>11301314</v>
      </c>
      <c r="W65" s="472">
        <f t="shared" si="5"/>
        <v>49.983697478991594</v>
      </c>
      <c r="X65" s="472">
        <f t="shared" si="6"/>
        <v>24191314</v>
      </c>
      <c r="Y65" s="472">
        <f t="shared" si="7"/>
        <v>68.144546478873238</v>
      </c>
      <c r="Z65" s="533"/>
      <c r="AA65" s="533"/>
      <c r="AB65" s="533"/>
      <c r="AC65" s="533"/>
      <c r="AD65" s="533"/>
      <c r="AE65" s="533"/>
      <c r="AF65" s="533"/>
      <c r="AG65" s="533"/>
      <c r="AH65" s="533"/>
      <c r="AI65" s="533"/>
      <c r="AJ65" s="533"/>
      <c r="AK65" s="533"/>
      <c r="AL65" s="533"/>
      <c r="AM65" s="533"/>
      <c r="AN65" s="533"/>
      <c r="AO65" s="533"/>
      <c r="AP65" s="533"/>
      <c r="AQ65" s="533"/>
      <c r="AR65" s="533"/>
      <c r="AS65" s="533"/>
      <c r="AT65" s="533"/>
      <c r="AU65" s="533"/>
      <c r="AV65" s="533"/>
      <c r="AW65" s="533"/>
      <c r="AX65" s="533"/>
      <c r="AY65" s="533"/>
      <c r="AZ65" s="533"/>
      <c r="BA65" s="533"/>
    </row>
    <row r="66" spans="1:53" s="495" customFormat="1" ht="24">
      <c r="A66" s="494">
        <v>8</v>
      </c>
      <c r="B66" s="482">
        <v>1</v>
      </c>
      <c r="C66" s="482" t="s">
        <v>66</v>
      </c>
      <c r="D66" s="482" t="s">
        <v>68</v>
      </c>
      <c r="E66" s="482" t="s">
        <v>113</v>
      </c>
      <c r="F66" s="486" t="s">
        <v>115</v>
      </c>
      <c r="G66" s="143" t="s">
        <v>251</v>
      </c>
      <c r="H66" s="143"/>
      <c r="I66" s="144">
        <f>SUM(I67:I68)</f>
        <v>35500000</v>
      </c>
      <c r="J66" s="144">
        <f t="shared" ref="J66:N66" si="47">SUM(J67:J68)</f>
        <v>10800000</v>
      </c>
      <c r="K66" s="144">
        <f t="shared" si="47"/>
        <v>11810000</v>
      </c>
      <c r="L66" s="144">
        <f t="shared" si="47"/>
        <v>10280000</v>
      </c>
      <c r="M66" s="144">
        <f t="shared" si="47"/>
        <v>2610000</v>
      </c>
      <c r="N66" s="144">
        <f t="shared" si="47"/>
        <v>22610000</v>
      </c>
      <c r="O66" s="141">
        <f t="shared" si="1"/>
        <v>63.690140845070417</v>
      </c>
      <c r="P66" s="477">
        <f>SUM(P67:P68)</f>
        <v>0</v>
      </c>
      <c r="Q66" s="142">
        <f t="shared" ref="Q66:T66" si="48">SUM(Q67:Q68)</f>
        <v>11308686</v>
      </c>
      <c r="R66" s="142">
        <f t="shared" si="48"/>
        <v>0</v>
      </c>
      <c r="S66" s="142">
        <f t="shared" si="48"/>
        <v>0</v>
      </c>
      <c r="T66" s="142">
        <f t="shared" si="48"/>
        <v>11308686</v>
      </c>
      <c r="U66" s="142">
        <f t="shared" si="3"/>
        <v>50.016302521008406</v>
      </c>
      <c r="V66" s="135">
        <f t="shared" si="4"/>
        <v>11301314</v>
      </c>
      <c r="W66" s="142">
        <f t="shared" si="5"/>
        <v>49.983697478991594</v>
      </c>
      <c r="X66" s="135">
        <f t="shared" si="6"/>
        <v>24191314</v>
      </c>
      <c r="Y66" s="142">
        <f t="shared" si="7"/>
        <v>68.144546478873238</v>
      </c>
      <c r="Z66" s="541"/>
      <c r="AA66" s="541"/>
      <c r="AB66" s="541"/>
      <c r="AC66" s="541"/>
      <c r="AD66" s="541"/>
      <c r="AE66" s="541"/>
      <c r="AF66" s="541"/>
      <c r="AG66" s="541"/>
      <c r="AH66" s="541"/>
      <c r="AI66" s="541"/>
      <c r="AJ66" s="541"/>
      <c r="AK66" s="541"/>
      <c r="AL66" s="541"/>
      <c r="AM66" s="541"/>
      <c r="AN66" s="541"/>
      <c r="AO66" s="541"/>
      <c r="AP66" s="541"/>
      <c r="AQ66" s="541"/>
      <c r="AR66" s="541"/>
      <c r="AS66" s="541"/>
      <c r="AT66" s="541"/>
      <c r="AU66" s="541"/>
      <c r="AV66" s="541"/>
      <c r="AW66" s="541"/>
      <c r="AX66" s="541"/>
      <c r="AY66" s="541"/>
      <c r="AZ66" s="541"/>
      <c r="BA66" s="541"/>
    </row>
    <row r="67" spans="1:53">
      <c r="A67" s="447"/>
      <c r="B67" s="475" t="s">
        <v>72</v>
      </c>
      <c r="C67" s="475" t="s">
        <v>73</v>
      </c>
      <c r="D67" s="475" t="s">
        <v>73</v>
      </c>
      <c r="E67" s="475">
        <v>12</v>
      </c>
      <c r="F67" s="475" t="s">
        <v>81</v>
      </c>
      <c r="G67" s="12" t="s">
        <v>312</v>
      </c>
      <c r="H67" s="12"/>
      <c r="I67" s="13">
        <v>15000000</v>
      </c>
      <c r="J67" s="13">
        <v>5000000</v>
      </c>
      <c r="K67" s="13">
        <v>5000000</v>
      </c>
      <c r="L67" s="13">
        <v>5000000</v>
      </c>
      <c r="M67" s="17">
        <v>0</v>
      </c>
      <c r="N67" s="20">
        <f>J67+K67</f>
        <v>10000000</v>
      </c>
      <c r="O67" s="136">
        <f t="shared" si="1"/>
        <v>66.666666666666657</v>
      </c>
      <c r="P67" s="20"/>
      <c r="Q67" s="472"/>
      <c r="R67" s="20"/>
      <c r="S67" s="20"/>
      <c r="T67" s="466">
        <f>P67+Q67</f>
        <v>0</v>
      </c>
      <c r="U67" s="472">
        <f t="shared" si="3"/>
        <v>0</v>
      </c>
      <c r="V67" s="472">
        <f t="shared" si="4"/>
        <v>10000000</v>
      </c>
      <c r="W67" s="472">
        <f t="shared" si="5"/>
        <v>100</v>
      </c>
      <c r="X67" s="472">
        <f t="shared" si="6"/>
        <v>15000000</v>
      </c>
      <c r="Y67" s="472">
        <f t="shared" si="7"/>
        <v>100</v>
      </c>
    </row>
    <row r="68" spans="1:53">
      <c r="A68" s="485"/>
      <c r="B68" s="479" t="s">
        <v>72</v>
      </c>
      <c r="C68" s="479" t="s">
        <v>73</v>
      </c>
      <c r="D68" s="479" t="s">
        <v>80</v>
      </c>
      <c r="E68" s="479" t="s">
        <v>68</v>
      </c>
      <c r="F68" s="480" t="s">
        <v>81</v>
      </c>
      <c r="G68" s="15" t="s">
        <v>82</v>
      </c>
      <c r="H68" s="15"/>
      <c r="I68" s="14">
        <v>20500000</v>
      </c>
      <c r="J68" s="14">
        <v>5800000</v>
      </c>
      <c r="K68" s="14">
        <v>6810000</v>
      </c>
      <c r="L68" s="14">
        <v>5280000</v>
      </c>
      <c r="M68" s="138">
        <v>2610000</v>
      </c>
      <c r="N68" s="20">
        <f>J68+K68</f>
        <v>12610000</v>
      </c>
      <c r="O68" s="136">
        <f t="shared" si="1"/>
        <v>61.512195121951216</v>
      </c>
      <c r="P68" s="20"/>
      <c r="Q68" s="472">
        <f>11308686</f>
        <v>11308686</v>
      </c>
      <c r="R68" s="20"/>
      <c r="S68" s="20"/>
      <c r="T68" s="466">
        <f>P68+Q68</f>
        <v>11308686</v>
      </c>
      <c r="U68" s="472">
        <f t="shared" si="3"/>
        <v>89.68030134813641</v>
      </c>
      <c r="V68" s="472">
        <f t="shared" si="4"/>
        <v>1301314</v>
      </c>
      <c r="W68" s="472">
        <f t="shared" si="5"/>
        <v>10.3196986518636</v>
      </c>
      <c r="X68" s="472">
        <f t="shared" si="6"/>
        <v>9191314</v>
      </c>
      <c r="Y68" s="472">
        <f t="shared" si="7"/>
        <v>44.835678048780487</v>
      </c>
    </row>
    <row r="69" spans="1:53" s="226" customFormat="1">
      <c r="A69" s="447"/>
      <c r="B69" s="489">
        <v>1</v>
      </c>
      <c r="C69" s="489" t="s">
        <v>66</v>
      </c>
      <c r="D69" s="490" t="s">
        <v>68</v>
      </c>
      <c r="E69" s="489" t="s">
        <v>117</v>
      </c>
      <c r="F69" s="490"/>
      <c r="G69" s="493" t="s">
        <v>118</v>
      </c>
      <c r="H69" s="493"/>
      <c r="I69" s="492">
        <f>I70+I72+I75+I77+I79+I81</f>
        <v>393759800</v>
      </c>
      <c r="J69" s="492">
        <f t="shared" ref="J69:N69" si="49">J70+J72+J75+J77+J79+J81</f>
        <v>107738815</v>
      </c>
      <c r="K69" s="492">
        <f t="shared" si="49"/>
        <v>90632335</v>
      </c>
      <c r="L69" s="492">
        <f t="shared" si="49"/>
        <v>126737055</v>
      </c>
      <c r="M69" s="492">
        <f t="shared" si="49"/>
        <v>68651595</v>
      </c>
      <c r="N69" s="492">
        <f t="shared" si="49"/>
        <v>198371150</v>
      </c>
      <c r="O69" s="465">
        <f t="shared" si="1"/>
        <v>50.378720732791912</v>
      </c>
      <c r="P69" s="32">
        <f>P70+P72+P75+P77+P79+P81</f>
        <v>88731448</v>
      </c>
      <c r="Q69" s="466">
        <f t="shared" ref="Q69:T69" si="50">Q70+Q72+Q75+Q77+Q79+Q81</f>
        <v>77531600</v>
      </c>
      <c r="R69" s="32">
        <f t="shared" si="50"/>
        <v>0</v>
      </c>
      <c r="S69" s="32">
        <f t="shared" si="50"/>
        <v>0</v>
      </c>
      <c r="T69" s="32">
        <f t="shared" si="50"/>
        <v>166263048</v>
      </c>
      <c r="U69" s="466">
        <f t="shared" si="3"/>
        <v>83.814127205493335</v>
      </c>
      <c r="V69" s="472">
        <f t="shared" si="4"/>
        <v>32108102</v>
      </c>
      <c r="W69" s="472">
        <f t="shared" si="5"/>
        <v>16.185872794506661</v>
      </c>
      <c r="X69" s="472">
        <f t="shared" si="6"/>
        <v>227496752</v>
      </c>
      <c r="Y69" s="472">
        <f t="shared" si="7"/>
        <v>57.775514920517537</v>
      </c>
      <c r="Z69" s="533"/>
      <c r="AA69" s="533"/>
      <c r="AB69" s="533"/>
      <c r="AC69" s="533"/>
      <c r="AD69" s="533"/>
      <c r="AE69" s="533"/>
      <c r="AF69" s="533"/>
      <c r="AG69" s="533"/>
      <c r="AH69" s="533"/>
      <c r="AI69" s="533"/>
      <c r="AJ69" s="533"/>
      <c r="AK69" s="533"/>
      <c r="AL69" s="533"/>
      <c r="AM69" s="533"/>
      <c r="AN69" s="533"/>
      <c r="AO69" s="533"/>
      <c r="AP69" s="533"/>
      <c r="AQ69" s="533"/>
      <c r="AR69" s="533"/>
      <c r="AS69" s="533"/>
      <c r="AT69" s="533"/>
      <c r="AU69" s="533"/>
      <c r="AV69" s="533"/>
      <c r="AW69" s="533"/>
      <c r="AX69" s="533"/>
      <c r="AY69" s="533"/>
      <c r="AZ69" s="533"/>
      <c r="BA69" s="533"/>
    </row>
    <row r="70" spans="1:53" s="484" customFormat="1" ht="24">
      <c r="A70" s="481">
        <v>9</v>
      </c>
      <c r="B70" s="482">
        <v>1</v>
      </c>
      <c r="C70" s="482" t="s">
        <v>66</v>
      </c>
      <c r="D70" s="482" t="s">
        <v>68</v>
      </c>
      <c r="E70" s="482" t="s">
        <v>117</v>
      </c>
      <c r="F70" s="482" t="s">
        <v>68</v>
      </c>
      <c r="G70" s="143" t="s">
        <v>119</v>
      </c>
      <c r="H70" s="143"/>
      <c r="I70" s="144">
        <f>I71</f>
        <v>12625000</v>
      </c>
      <c r="J70" s="144">
        <f t="shared" ref="J70:N70" si="51">J71</f>
        <v>3156250</v>
      </c>
      <c r="K70" s="144">
        <f t="shared" si="51"/>
        <v>3156250</v>
      </c>
      <c r="L70" s="144">
        <f t="shared" si="51"/>
        <v>3156250</v>
      </c>
      <c r="M70" s="144">
        <f t="shared" si="51"/>
        <v>3156250</v>
      </c>
      <c r="N70" s="144">
        <f t="shared" si="51"/>
        <v>6312500</v>
      </c>
      <c r="O70" s="133">
        <f t="shared" si="1"/>
        <v>50</v>
      </c>
      <c r="P70" s="483">
        <f>P71</f>
        <v>0</v>
      </c>
      <c r="Q70" s="134">
        <f t="shared" ref="Q70:T70" si="52">Q71</f>
        <v>0</v>
      </c>
      <c r="R70" s="134">
        <f t="shared" si="52"/>
        <v>0</v>
      </c>
      <c r="S70" s="134">
        <f t="shared" si="52"/>
        <v>0</v>
      </c>
      <c r="T70" s="134">
        <f t="shared" si="52"/>
        <v>0</v>
      </c>
      <c r="U70" s="134">
        <f t="shared" si="3"/>
        <v>0</v>
      </c>
      <c r="V70" s="135">
        <f t="shared" si="4"/>
        <v>6312500</v>
      </c>
      <c r="W70" s="134">
        <f t="shared" si="5"/>
        <v>100</v>
      </c>
      <c r="X70" s="135">
        <f t="shared" si="6"/>
        <v>12625000</v>
      </c>
      <c r="Y70" s="134">
        <f t="shared" si="7"/>
        <v>100</v>
      </c>
      <c r="Z70" s="540"/>
      <c r="AA70" s="540"/>
      <c r="AB70" s="540"/>
      <c r="AC70" s="540"/>
      <c r="AD70" s="540"/>
      <c r="AE70" s="540"/>
      <c r="AF70" s="540"/>
      <c r="AG70" s="540"/>
      <c r="AH70" s="540"/>
      <c r="AI70" s="540"/>
      <c r="AJ70" s="540"/>
      <c r="AK70" s="540"/>
      <c r="AL70" s="540"/>
      <c r="AM70" s="540"/>
      <c r="AN70" s="540"/>
      <c r="AO70" s="540"/>
      <c r="AP70" s="540"/>
      <c r="AQ70" s="540"/>
      <c r="AR70" s="540"/>
      <c r="AS70" s="540"/>
      <c r="AT70" s="540"/>
      <c r="AU70" s="540"/>
      <c r="AV70" s="540"/>
      <c r="AW70" s="540"/>
      <c r="AX70" s="540"/>
      <c r="AY70" s="540"/>
      <c r="AZ70" s="540"/>
      <c r="BA70" s="540"/>
    </row>
    <row r="71" spans="1:53">
      <c r="A71" s="485"/>
      <c r="B71" s="475" t="s">
        <v>72</v>
      </c>
      <c r="C71" s="475" t="s">
        <v>73</v>
      </c>
      <c r="D71" s="475" t="s">
        <v>68</v>
      </c>
      <c r="E71" s="478" t="s">
        <v>68</v>
      </c>
      <c r="F71" s="475" t="s">
        <v>120</v>
      </c>
      <c r="G71" s="12" t="s">
        <v>121</v>
      </c>
      <c r="H71" s="12"/>
      <c r="I71" s="13">
        <v>12625000</v>
      </c>
      <c r="J71" s="13">
        <v>3156250</v>
      </c>
      <c r="K71" s="13">
        <v>3156250</v>
      </c>
      <c r="L71" s="13">
        <v>3156250</v>
      </c>
      <c r="M71" s="17">
        <v>3156250</v>
      </c>
      <c r="N71" s="20">
        <f>J71+K71</f>
        <v>6312500</v>
      </c>
      <c r="O71" s="136">
        <f t="shared" si="1"/>
        <v>50</v>
      </c>
      <c r="P71" s="20"/>
      <c r="Q71" s="472"/>
      <c r="R71" s="20"/>
      <c r="S71" s="20"/>
      <c r="T71" s="466">
        <f>P71+Q71</f>
        <v>0</v>
      </c>
      <c r="U71" s="472">
        <f t="shared" si="3"/>
        <v>0</v>
      </c>
      <c r="V71" s="472">
        <f t="shared" si="4"/>
        <v>6312500</v>
      </c>
      <c r="W71" s="472">
        <f t="shared" si="5"/>
        <v>100</v>
      </c>
      <c r="X71" s="472">
        <f t="shared" si="6"/>
        <v>12625000</v>
      </c>
      <c r="Y71" s="472">
        <f t="shared" si="7"/>
        <v>100</v>
      </c>
    </row>
    <row r="72" spans="1:53" s="495" customFormat="1">
      <c r="A72" s="494">
        <v>10</v>
      </c>
      <c r="B72" s="496">
        <v>1</v>
      </c>
      <c r="C72" s="496" t="s">
        <v>66</v>
      </c>
      <c r="D72" s="496" t="s">
        <v>68</v>
      </c>
      <c r="E72" s="497" t="s">
        <v>117</v>
      </c>
      <c r="F72" s="497" t="s">
        <v>80</v>
      </c>
      <c r="G72" s="139" t="s">
        <v>122</v>
      </c>
      <c r="H72" s="139"/>
      <c r="I72" s="140">
        <f>SUM(I73:I74)</f>
        <v>25000000</v>
      </c>
      <c r="J72" s="140">
        <f t="shared" ref="J72:N72" si="53">SUM(J73:J74)</f>
        <v>5808125</v>
      </c>
      <c r="K72" s="140">
        <f t="shared" si="53"/>
        <v>6308125</v>
      </c>
      <c r="L72" s="140">
        <f t="shared" si="53"/>
        <v>6808125</v>
      </c>
      <c r="M72" s="140">
        <f t="shared" si="53"/>
        <v>6075625</v>
      </c>
      <c r="N72" s="140">
        <f t="shared" si="53"/>
        <v>12116250</v>
      </c>
      <c r="O72" s="141">
        <f t="shared" si="1"/>
        <v>48.465000000000003</v>
      </c>
      <c r="P72" s="477">
        <f>SUM(P73:P74)</f>
        <v>4250000</v>
      </c>
      <c r="Q72" s="142">
        <f t="shared" ref="Q72:T72" si="54">SUM(Q73:Q74)</f>
        <v>6853000</v>
      </c>
      <c r="R72" s="142">
        <f t="shared" si="54"/>
        <v>0</v>
      </c>
      <c r="S72" s="142">
        <f t="shared" si="54"/>
        <v>0</v>
      </c>
      <c r="T72" s="142">
        <f t="shared" si="54"/>
        <v>11103000</v>
      </c>
      <c r="U72" s="142">
        <f t="shared" si="3"/>
        <v>91.63726400495203</v>
      </c>
      <c r="V72" s="135">
        <f t="shared" si="4"/>
        <v>1013250</v>
      </c>
      <c r="W72" s="142">
        <f t="shared" ref="W72:W135" si="55">V72/N72*100</f>
        <v>8.3627359950479718</v>
      </c>
      <c r="X72" s="135">
        <f t="shared" si="6"/>
        <v>13897000</v>
      </c>
      <c r="Y72" s="142">
        <f t="shared" si="7"/>
        <v>55.588000000000001</v>
      </c>
      <c r="Z72" s="541"/>
      <c r="AA72" s="541"/>
      <c r="AB72" s="541"/>
      <c r="AC72" s="541"/>
      <c r="AD72" s="541"/>
      <c r="AE72" s="541"/>
      <c r="AF72" s="541"/>
      <c r="AG72" s="541"/>
      <c r="AH72" s="541"/>
      <c r="AI72" s="541"/>
      <c r="AJ72" s="541"/>
      <c r="AK72" s="541"/>
      <c r="AL72" s="541"/>
      <c r="AM72" s="541"/>
      <c r="AN72" s="541"/>
      <c r="AO72" s="541"/>
      <c r="AP72" s="541"/>
      <c r="AQ72" s="541"/>
      <c r="AR72" s="541"/>
      <c r="AS72" s="541"/>
      <c r="AT72" s="541"/>
      <c r="AU72" s="541"/>
      <c r="AV72" s="541"/>
      <c r="AW72" s="541"/>
      <c r="AX72" s="541"/>
      <c r="AY72" s="541"/>
      <c r="AZ72" s="541"/>
      <c r="BA72" s="541"/>
    </row>
    <row r="73" spans="1:53">
      <c r="A73" s="485"/>
      <c r="B73" s="475" t="s">
        <v>72</v>
      </c>
      <c r="C73" s="475" t="s">
        <v>73</v>
      </c>
      <c r="D73" s="478" t="s">
        <v>68</v>
      </c>
      <c r="E73" s="478" t="s">
        <v>68</v>
      </c>
      <c r="F73" s="478" t="s">
        <v>123</v>
      </c>
      <c r="G73" s="12" t="s">
        <v>124</v>
      </c>
      <c r="H73" s="12"/>
      <c r="I73" s="13">
        <v>17232500</v>
      </c>
      <c r="J73" s="13">
        <v>4308125</v>
      </c>
      <c r="K73" s="13">
        <v>4308125</v>
      </c>
      <c r="L73" s="13">
        <v>4308125</v>
      </c>
      <c r="M73" s="17">
        <v>4308125</v>
      </c>
      <c r="N73" s="20">
        <f>J73+K73</f>
        <v>8616250</v>
      </c>
      <c r="O73" s="136">
        <f t="shared" ref="O73:O136" si="56">N73/I73*100</f>
        <v>50</v>
      </c>
      <c r="P73" s="20">
        <f>2200000+2050000</f>
        <v>4250000</v>
      </c>
      <c r="Q73" s="472">
        <f>1550000+1300000+800000+700000</f>
        <v>4350000</v>
      </c>
      <c r="R73" s="20"/>
      <c r="S73" s="20"/>
      <c r="T73" s="472">
        <f>P73+Q73</f>
        <v>8600000</v>
      </c>
      <c r="U73" s="472">
        <f t="shared" ref="U73:U136" si="57">T73/N73*100</f>
        <v>99.81140287247932</v>
      </c>
      <c r="V73" s="472">
        <f t="shared" si="4"/>
        <v>16250</v>
      </c>
      <c r="W73" s="472">
        <f t="shared" si="55"/>
        <v>0.18859712752067315</v>
      </c>
      <c r="X73" s="472">
        <f t="shared" si="6"/>
        <v>8632500</v>
      </c>
      <c r="Y73" s="472">
        <f t="shared" ref="Y73:Y136" si="58">X73/I73*100</f>
        <v>50.094298563760333</v>
      </c>
    </row>
    <row r="74" spans="1:53">
      <c r="A74" s="485"/>
      <c r="B74" s="479" t="s">
        <v>72</v>
      </c>
      <c r="C74" s="479" t="s">
        <v>73</v>
      </c>
      <c r="D74" s="479" t="s">
        <v>68</v>
      </c>
      <c r="E74" s="480" t="s">
        <v>68</v>
      </c>
      <c r="F74" s="480" t="s">
        <v>125</v>
      </c>
      <c r="G74" s="15" t="s">
        <v>126</v>
      </c>
      <c r="H74" s="15"/>
      <c r="I74" s="14">
        <v>7767500</v>
      </c>
      <c r="J74" s="14">
        <v>1500000</v>
      </c>
      <c r="K74" s="14">
        <v>2000000</v>
      </c>
      <c r="L74" s="14">
        <v>2500000</v>
      </c>
      <c r="M74" s="138">
        <v>1767500</v>
      </c>
      <c r="N74" s="20">
        <f>J74+K74</f>
        <v>3500000</v>
      </c>
      <c r="O74" s="136">
        <f t="shared" si="56"/>
        <v>45.05954296749276</v>
      </c>
      <c r="P74" s="20"/>
      <c r="Q74" s="472">
        <f>2503000</f>
        <v>2503000</v>
      </c>
      <c r="R74" s="20"/>
      <c r="S74" s="20"/>
      <c r="T74" s="472">
        <f>P74+Q74</f>
        <v>2503000</v>
      </c>
      <c r="U74" s="472">
        <f t="shared" si="57"/>
        <v>71.51428571428572</v>
      </c>
      <c r="V74" s="472">
        <f t="shared" ref="V74:V137" si="59">N74-T74</f>
        <v>997000</v>
      </c>
      <c r="W74" s="472">
        <f t="shared" si="55"/>
        <v>28.485714285714288</v>
      </c>
      <c r="X74" s="472">
        <f t="shared" ref="X74:X137" si="60">I74-T74</f>
        <v>5264500</v>
      </c>
      <c r="Y74" s="472">
        <f t="shared" si="58"/>
        <v>67.775989700675893</v>
      </c>
    </row>
    <row r="75" spans="1:53" s="484" customFormat="1">
      <c r="A75" s="481">
        <v>11</v>
      </c>
      <c r="B75" s="482">
        <v>1</v>
      </c>
      <c r="C75" s="482" t="s">
        <v>66</v>
      </c>
      <c r="D75" s="486" t="s">
        <v>68</v>
      </c>
      <c r="E75" s="482" t="s">
        <v>117</v>
      </c>
      <c r="F75" s="486" t="s">
        <v>66</v>
      </c>
      <c r="G75" s="143" t="s">
        <v>127</v>
      </c>
      <c r="H75" s="143"/>
      <c r="I75" s="144">
        <f>I76</f>
        <v>25000000</v>
      </c>
      <c r="J75" s="144">
        <f t="shared" ref="J75:N75" si="61">J76</f>
        <v>2675000</v>
      </c>
      <c r="K75" s="144">
        <f t="shared" si="61"/>
        <v>11775000</v>
      </c>
      <c r="L75" s="144">
        <f t="shared" si="61"/>
        <v>6345000</v>
      </c>
      <c r="M75" s="144">
        <f t="shared" si="61"/>
        <v>4205000</v>
      </c>
      <c r="N75" s="144">
        <f t="shared" si="61"/>
        <v>14450000</v>
      </c>
      <c r="O75" s="133">
        <f t="shared" si="56"/>
        <v>57.8</v>
      </c>
      <c r="P75" s="483">
        <f>P76</f>
        <v>0</v>
      </c>
      <c r="Q75" s="134">
        <f t="shared" ref="Q75:T75" si="62">Q76</f>
        <v>1692000</v>
      </c>
      <c r="R75" s="134">
        <f t="shared" si="62"/>
        <v>0</v>
      </c>
      <c r="S75" s="134">
        <f t="shared" si="62"/>
        <v>0</v>
      </c>
      <c r="T75" s="134">
        <f t="shared" si="62"/>
        <v>1692000</v>
      </c>
      <c r="U75" s="134">
        <f t="shared" si="57"/>
        <v>11.709342560553633</v>
      </c>
      <c r="V75" s="135">
        <f t="shared" si="59"/>
        <v>12758000</v>
      </c>
      <c r="W75" s="134">
        <f t="shared" si="55"/>
        <v>88.290657439446363</v>
      </c>
      <c r="X75" s="135">
        <f t="shared" si="60"/>
        <v>23308000</v>
      </c>
      <c r="Y75" s="134">
        <f t="shared" si="58"/>
        <v>93.231999999999999</v>
      </c>
      <c r="Z75" s="540"/>
      <c r="AA75" s="540"/>
      <c r="AB75" s="540"/>
      <c r="AC75" s="540"/>
      <c r="AD75" s="540"/>
      <c r="AE75" s="540"/>
      <c r="AF75" s="540"/>
      <c r="AG75" s="540"/>
      <c r="AH75" s="540"/>
      <c r="AI75" s="540"/>
      <c r="AJ75" s="540"/>
      <c r="AK75" s="540"/>
      <c r="AL75" s="540"/>
      <c r="AM75" s="540"/>
      <c r="AN75" s="540"/>
      <c r="AO75" s="540"/>
      <c r="AP75" s="540"/>
      <c r="AQ75" s="540"/>
      <c r="AR75" s="540"/>
      <c r="AS75" s="540"/>
      <c r="AT75" s="540"/>
      <c r="AU75" s="540"/>
      <c r="AV75" s="540"/>
      <c r="AW75" s="540"/>
      <c r="AX75" s="540"/>
      <c r="AY75" s="540"/>
      <c r="AZ75" s="540"/>
      <c r="BA75" s="540"/>
    </row>
    <row r="76" spans="1:53">
      <c r="A76" s="447"/>
      <c r="B76" s="475" t="s">
        <v>72</v>
      </c>
      <c r="C76" s="475" t="s">
        <v>73</v>
      </c>
      <c r="D76" s="475" t="s">
        <v>68</v>
      </c>
      <c r="E76" s="478" t="s">
        <v>68</v>
      </c>
      <c r="F76" s="478" t="s">
        <v>76</v>
      </c>
      <c r="G76" s="16" t="s">
        <v>77</v>
      </c>
      <c r="H76" s="16"/>
      <c r="I76" s="13">
        <v>25000000</v>
      </c>
      <c r="J76" s="13">
        <v>2675000</v>
      </c>
      <c r="K76" s="13">
        <v>11775000</v>
      </c>
      <c r="L76" s="13">
        <v>6345000</v>
      </c>
      <c r="M76" s="17">
        <v>4205000</v>
      </c>
      <c r="N76" s="20">
        <f>J76+K76</f>
        <v>14450000</v>
      </c>
      <c r="O76" s="136">
        <f t="shared" si="56"/>
        <v>57.8</v>
      </c>
      <c r="P76" s="20"/>
      <c r="Q76" s="472">
        <f>1160000+292000+240000</f>
        <v>1692000</v>
      </c>
      <c r="R76" s="20"/>
      <c r="S76" s="20"/>
      <c r="T76" s="472">
        <f>P76+Q76</f>
        <v>1692000</v>
      </c>
      <c r="U76" s="472">
        <f t="shared" si="57"/>
        <v>11.709342560553633</v>
      </c>
      <c r="V76" s="472">
        <f t="shared" si="59"/>
        <v>12758000</v>
      </c>
      <c r="W76" s="472">
        <f t="shared" si="55"/>
        <v>88.290657439446363</v>
      </c>
      <c r="X76" s="472">
        <f t="shared" si="60"/>
        <v>23308000</v>
      </c>
      <c r="Y76" s="472">
        <f t="shared" si="58"/>
        <v>93.231999999999999</v>
      </c>
    </row>
    <row r="77" spans="1:53" s="495" customFormat="1" ht="24">
      <c r="A77" s="494">
        <v>12</v>
      </c>
      <c r="B77" s="482">
        <v>1</v>
      </c>
      <c r="C77" s="482" t="s">
        <v>66</v>
      </c>
      <c r="D77" s="482" t="s">
        <v>68</v>
      </c>
      <c r="E77" s="486" t="s">
        <v>117</v>
      </c>
      <c r="F77" s="486" t="s">
        <v>97</v>
      </c>
      <c r="G77" s="143" t="s">
        <v>128</v>
      </c>
      <c r="H77" s="143"/>
      <c r="I77" s="144">
        <f>I78</f>
        <v>6720000</v>
      </c>
      <c r="J77" s="144">
        <f t="shared" ref="J77:N77" si="63">J78</f>
        <v>1680000</v>
      </c>
      <c r="K77" s="144">
        <f t="shared" si="63"/>
        <v>1680000</v>
      </c>
      <c r="L77" s="144">
        <f t="shared" si="63"/>
        <v>1680000</v>
      </c>
      <c r="M77" s="144">
        <f t="shared" si="63"/>
        <v>1680000</v>
      </c>
      <c r="N77" s="144">
        <f t="shared" si="63"/>
        <v>3360000</v>
      </c>
      <c r="O77" s="141">
        <f t="shared" si="56"/>
        <v>50</v>
      </c>
      <c r="P77" s="477">
        <f>P78</f>
        <v>520000</v>
      </c>
      <c r="Q77" s="142">
        <f t="shared" ref="Q77:T77" si="64">Q78</f>
        <v>1520000</v>
      </c>
      <c r="R77" s="142">
        <f t="shared" si="64"/>
        <v>0</v>
      </c>
      <c r="S77" s="142">
        <f t="shared" si="64"/>
        <v>0</v>
      </c>
      <c r="T77" s="142">
        <f t="shared" si="64"/>
        <v>2040000</v>
      </c>
      <c r="U77" s="142">
        <f t="shared" si="57"/>
        <v>60.714285714285708</v>
      </c>
      <c r="V77" s="135">
        <f t="shared" si="59"/>
        <v>1320000</v>
      </c>
      <c r="W77" s="142">
        <f t="shared" si="55"/>
        <v>39.285714285714285</v>
      </c>
      <c r="X77" s="135">
        <f t="shared" si="60"/>
        <v>4680000</v>
      </c>
      <c r="Y77" s="142">
        <f t="shared" si="58"/>
        <v>69.642857142857139</v>
      </c>
      <c r="Z77" s="541"/>
      <c r="AA77" s="541"/>
      <c r="AB77" s="541"/>
      <c r="AC77" s="541"/>
      <c r="AD77" s="541"/>
      <c r="AE77" s="541"/>
      <c r="AF77" s="541"/>
      <c r="AG77" s="541"/>
      <c r="AH77" s="541"/>
      <c r="AI77" s="541"/>
      <c r="AJ77" s="541"/>
      <c r="AK77" s="541"/>
      <c r="AL77" s="541"/>
      <c r="AM77" s="541"/>
      <c r="AN77" s="541"/>
      <c r="AO77" s="541"/>
      <c r="AP77" s="541"/>
      <c r="AQ77" s="541"/>
      <c r="AR77" s="541"/>
      <c r="AS77" s="541"/>
      <c r="AT77" s="541"/>
      <c r="AU77" s="541"/>
      <c r="AV77" s="541"/>
      <c r="AW77" s="541"/>
      <c r="AX77" s="541"/>
      <c r="AY77" s="541"/>
      <c r="AZ77" s="541"/>
      <c r="BA77" s="541"/>
    </row>
    <row r="78" spans="1:53">
      <c r="A78" s="447"/>
      <c r="B78" s="475" t="s">
        <v>72</v>
      </c>
      <c r="C78" s="478" t="s">
        <v>73</v>
      </c>
      <c r="D78" s="478" t="s">
        <v>73</v>
      </c>
      <c r="E78" s="475" t="s">
        <v>68</v>
      </c>
      <c r="F78" s="478" t="s">
        <v>129</v>
      </c>
      <c r="G78" s="16" t="s">
        <v>130</v>
      </c>
      <c r="H78" s="16"/>
      <c r="I78" s="13">
        <v>6720000</v>
      </c>
      <c r="J78" s="13">
        <v>1680000</v>
      </c>
      <c r="K78" s="13">
        <v>1680000</v>
      </c>
      <c r="L78" s="13">
        <v>1680000</v>
      </c>
      <c r="M78" s="17">
        <v>1680000</v>
      </c>
      <c r="N78" s="20">
        <f>J78+K78</f>
        <v>3360000</v>
      </c>
      <c r="O78" s="136">
        <f t="shared" si="56"/>
        <v>50</v>
      </c>
      <c r="P78" s="20">
        <f>520000</f>
        <v>520000</v>
      </c>
      <c r="Q78" s="472">
        <f>400000+760000+360000</f>
        <v>1520000</v>
      </c>
      <c r="R78" s="20"/>
      <c r="S78" s="20"/>
      <c r="T78" s="472">
        <f>P78+Q78</f>
        <v>2040000</v>
      </c>
      <c r="U78" s="472">
        <f t="shared" si="57"/>
        <v>60.714285714285708</v>
      </c>
      <c r="V78" s="472">
        <f t="shared" si="59"/>
        <v>1320000</v>
      </c>
      <c r="W78" s="472">
        <f t="shared" si="55"/>
        <v>39.285714285714285</v>
      </c>
      <c r="X78" s="472">
        <f t="shared" si="60"/>
        <v>4680000</v>
      </c>
      <c r="Y78" s="472">
        <f t="shared" si="58"/>
        <v>69.642857142857139</v>
      </c>
    </row>
    <row r="79" spans="1:53" s="484" customFormat="1">
      <c r="A79" s="494">
        <v>13</v>
      </c>
      <c r="B79" s="482">
        <v>1</v>
      </c>
      <c r="C79" s="482" t="s">
        <v>66</v>
      </c>
      <c r="D79" s="482" t="s">
        <v>68</v>
      </c>
      <c r="E79" s="486" t="s">
        <v>117</v>
      </c>
      <c r="F79" s="482" t="s">
        <v>100</v>
      </c>
      <c r="G79" s="143" t="s">
        <v>131</v>
      </c>
      <c r="H79" s="143"/>
      <c r="I79" s="144">
        <f>I80</f>
        <v>14850000</v>
      </c>
      <c r="J79" s="144">
        <f t="shared" ref="J79:N79" si="65">J80</f>
        <v>3350000</v>
      </c>
      <c r="K79" s="144">
        <f t="shared" si="65"/>
        <v>4000000</v>
      </c>
      <c r="L79" s="144">
        <f t="shared" si="65"/>
        <v>4000000</v>
      </c>
      <c r="M79" s="144">
        <f t="shared" si="65"/>
        <v>3500000</v>
      </c>
      <c r="N79" s="144">
        <f t="shared" si="65"/>
        <v>7350000</v>
      </c>
      <c r="O79" s="133">
        <f t="shared" si="56"/>
        <v>49.494949494949495</v>
      </c>
      <c r="P79" s="483">
        <f>P80</f>
        <v>200000</v>
      </c>
      <c r="Q79" s="134">
        <f t="shared" ref="Q79:T79" si="66">Q80</f>
        <v>7065000</v>
      </c>
      <c r="R79" s="134">
        <f t="shared" si="66"/>
        <v>0</v>
      </c>
      <c r="S79" s="134">
        <f t="shared" si="66"/>
        <v>0</v>
      </c>
      <c r="T79" s="134">
        <f t="shared" si="66"/>
        <v>7265000</v>
      </c>
      <c r="U79" s="134">
        <f t="shared" si="57"/>
        <v>98.843537414965994</v>
      </c>
      <c r="V79" s="135">
        <f t="shared" si="59"/>
        <v>85000</v>
      </c>
      <c r="W79" s="134">
        <f t="shared" si="55"/>
        <v>1.1564625850340136</v>
      </c>
      <c r="X79" s="135">
        <f t="shared" si="60"/>
        <v>7585000</v>
      </c>
      <c r="Y79" s="134">
        <f t="shared" si="58"/>
        <v>51.07744107744108</v>
      </c>
      <c r="Z79" s="540"/>
      <c r="AA79" s="540"/>
      <c r="AB79" s="540"/>
      <c r="AC79" s="540"/>
      <c r="AD79" s="540"/>
      <c r="AE79" s="540"/>
      <c r="AF79" s="540"/>
      <c r="AG79" s="540"/>
      <c r="AH79" s="540"/>
      <c r="AI79" s="540"/>
      <c r="AJ79" s="540"/>
      <c r="AK79" s="540"/>
      <c r="AL79" s="540"/>
      <c r="AM79" s="540"/>
      <c r="AN79" s="540"/>
      <c r="AO79" s="540"/>
      <c r="AP79" s="540"/>
      <c r="AQ79" s="540"/>
      <c r="AR79" s="540"/>
      <c r="AS79" s="540"/>
      <c r="AT79" s="540"/>
      <c r="AU79" s="540"/>
      <c r="AV79" s="540"/>
      <c r="AW79" s="540"/>
      <c r="AX79" s="540"/>
      <c r="AY79" s="540"/>
      <c r="AZ79" s="540"/>
      <c r="BA79" s="540"/>
    </row>
    <row r="80" spans="1:53">
      <c r="A80" s="485"/>
      <c r="B80" s="475" t="s">
        <v>72</v>
      </c>
      <c r="C80" s="475" t="s">
        <v>73</v>
      </c>
      <c r="D80" s="475" t="s">
        <v>68</v>
      </c>
      <c r="E80" s="478" t="s">
        <v>68</v>
      </c>
      <c r="F80" s="478" t="s">
        <v>132</v>
      </c>
      <c r="G80" s="12" t="s">
        <v>133</v>
      </c>
      <c r="H80" s="12"/>
      <c r="I80" s="13">
        <v>14850000</v>
      </c>
      <c r="J80" s="13">
        <v>3350000</v>
      </c>
      <c r="K80" s="13">
        <v>4000000</v>
      </c>
      <c r="L80" s="13">
        <v>4000000</v>
      </c>
      <c r="M80" s="17">
        <v>3500000</v>
      </c>
      <c r="N80" s="20">
        <f>J80+K80</f>
        <v>7350000</v>
      </c>
      <c r="O80" s="136">
        <f t="shared" si="56"/>
        <v>49.494949494949495</v>
      </c>
      <c r="P80" s="20">
        <f>200000</f>
        <v>200000</v>
      </c>
      <c r="Q80" s="472">
        <f>3500000+3565000</f>
        <v>7065000</v>
      </c>
      <c r="R80" s="20"/>
      <c r="S80" s="20"/>
      <c r="T80" s="472">
        <f>P80+Q80</f>
        <v>7265000</v>
      </c>
      <c r="U80" s="472">
        <f t="shared" si="57"/>
        <v>98.843537414965994</v>
      </c>
      <c r="V80" s="472">
        <f t="shared" si="59"/>
        <v>85000</v>
      </c>
      <c r="W80" s="472">
        <f t="shared" si="55"/>
        <v>1.1564625850340136</v>
      </c>
      <c r="X80" s="472">
        <f t="shared" si="60"/>
        <v>7585000</v>
      </c>
      <c r="Y80" s="472">
        <f t="shared" si="58"/>
        <v>51.07744107744108</v>
      </c>
    </row>
    <row r="81" spans="1:53" s="484" customFormat="1" ht="24">
      <c r="A81" s="481">
        <v>14</v>
      </c>
      <c r="B81" s="482">
        <v>1</v>
      </c>
      <c r="C81" s="482" t="s">
        <v>66</v>
      </c>
      <c r="D81" s="482" t="s">
        <v>68</v>
      </c>
      <c r="E81" s="482" t="s">
        <v>117</v>
      </c>
      <c r="F81" s="482" t="s">
        <v>134</v>
      </c>
      <c r="G81" s="143" t="s">
        <v>135</v>
      </c>
      <c r="H81" s="143"/>
      <c r="I81" s="144">
        <f>SUM(I82:I83)</f>
        <v>309564800</v>
      </c>
      <c r="J81" s="144">
        <f t="shared" ref="J81:N81" si="67">SUM(J82:J83)</f>
        <v>91069440</v>
      </c>
      <c r="K81" s="144">
        <f t="shared" si="67"/>
        <v>63712960</v>
      </c>
      <c r="L81" s="144">
        <f t="shared" si="67"/>
        <v>104747680</v>
      </c>
      <c r="M81" s="144">
        <f t="shared" si="67"/>
        <v>50034720</v>
      </c>
      <c r="N81" s="144">
        <f t="shared" si="67"/>
        <v>154782400</v>
      </c>
      <c r="O81" s="133">
        <f t="shared" si="56"/>
        <v>50</v>
      </c>
      <c r="P81" s="483">
        <f>SUM(P82:P83)</f>
        <v>83761448</v>
      </c>
      <c r="Q81" s="498">
        <f t="shared" ref="Q81:T81" si="68">SUM(Q82:Q83)</f>
        <v>60401600</v>
      </c>
      <c r="R81" s="483">
        <f t="shared" si="68"/>
        <v>0</v>
      </c>
      <c r="S81" s="483">
        <f t="shared" si="68"/>
        <v>0</v>
      </c>
      <c r="T81" s="483">
        <f t="shared" si="68"/>
        <v>144163048</v>
      </c>
      <c r="U81" s="134">
        <f t="shared" si="57"/>
        <v>93.139173446076569</v>
      </c>
      <c r="V81" s="135">
        <f t="shared" si="59"/>
        <v>10619352</v>
      </c>
      <c r="W81" s="134">
        <f t="shared" si="55"/>
        <v>6.8608265539234434</v>
      </c>
      <c r="X81" s="135">
        <f t="shared" si="60"/>
        <v>165401752</v>
      </c>
      <c r="Y81" s="134">
        <f t="shared" si="58"/>
        <v>53.430413276961715</v>
      </c>
      <c r="Z81" s="540"/>
      <c r="AA81" s="540"/>
      <c r="AB81" s="540"/>
      <c r="AC81" s="540"/>
      <c r="AD81" s="540"/>
      <c r="AE81" s="540"/>
      <c r="AF81" s="540"/>
      <c r="AG81" s="540"/>
      <c r="AH81" s="540"/>
      <c r="AI81" s="540"/>
      <c r="AJ81" s="540"/>
      <c r="AK81" s="540"/>
      <c r="AL81" s="540"/>
      <c r="AM81" s="540"/>
      <c r="AN81" s="540"/>
      <c r="AO81" s="540"/>
      <c r="AP81" s="540"/>
      <c r="AQ81" s="540"/>
      <c r="AR81" s="540"/>
      <c r="AS81" s="540"/>
      <c r="AT81" s="540"/>
      <c r="AU81" s="540"/>
      <c r="AV81" s="540"/>
      <c r="AW81" s="540"/>
      <c r="AX81" s="540"/>
      <c r="AY81" s="540"/>
      <c r="AZ81" s="540"/>
      <c r="BA81" s="540"/>
    </row>
    <row r="82" spans="1:53">
      <c r="A82" s="447"/>
      <c r="B82" s="475" t="s">
        <v>72</v>
      </c>
      <c r="C82" s="475" t="s">
        <v>73</v>
      </c>
      <c r="D82" s="475" t="s">
        <v>73</v>
      </c>
      <c r="E82" s="475" t="s">
        <v>68</v>
      </c>
      <c r="F82" s="478" t="s">
        <v>106</v>
      </c>
      <c r="G82" s="12" t="s">
        <v>107</v>
      </c>
      <c r="H82" s="12"/>
      <c r="I82" s="13">
        <v>36000000</v>
      </c>
      <c r="J82" s="13">
        <v>9000000</v>
      </c>
      <c r="K82" s="13">
        <v>9000000</v>
      </c>
      <c r="L82" s="13">
        <v>9000000</v>
      </c>
      <c r="M82" s="17">
        <v>9000000</v>
      </c>
      <c r="N82" s="20">
        <f>J82+K82</f>
        <v>18000000</v>
      </c>
      <c r="O82" s="136">
        <f t="shared" si="56"/>
        <v>50</v>
      </c>
      <c r="P82" s="20">
        <f>1500000+1500000</f>
        <v>3000000</v>
      </c>
      <c r="Q82" s="472">
        <f>1500000+1500000+1500000</f>
        <v>4500000</v>
      </c>
      <c r="R82" s="20"/>
      <c r="S82" s="20"/>
      <c r="T82" s="472">
        <f>P82+Q82</f>
        <v>7500000</v>
      </c>
      <c r="U82" s="472">
        <f t="shared" si="57"/>
        <v>41.666666666666671</v>
      </c>
      <c r="V82" s="472">
        <f t="shared" si="59"/>
        <v>10500000</v>
      </c>
      <c r="W82" s="472">
        <f t="shared" si="55"/>
        <v>58.333333333333336</v>
      </c>
      <c r="X82" s="472">
        <f t="shared" si="60"/>
        <v>28500000</v>
      </c>
      <c r="Y82" s="472">
        <f t="shared" si="58"/>
        <v>79.166666666666657</v>
      </c>
    </row>
    <row r="83" spans="1:53">
      <c r="A83" s="447"/>
      <c r="B83" s="475" t="s">
        <v>72</v>
      </c>
      <c r="C83" s="475" t="s">
        <v>73</v>
      </c>
      <c r="D83" s="475" t="s">
        <v>80</v>
      </c>
      <c r="E83" s="475" t="s">
        <v>68</v>
      </c>
      <c r="F83" s="478" t="s">
        <v>81</v>
      </c>
      <c r="G83" s="12" t="s">
        <v>82</v>
      </c>
      <c r="H83" s="12"/>
      <c r="I83" s="13">
        <v>273564800</v>
      </c>
      <c r="J83" s="13">
        <v>82069440</v>
      </c>
      <c r="K83" s="13">
        <v>54712960</v>
      </c>
      <c r="L83" s="13">
        <v>95747680</v>
      </c>
      <c r="M83" s="17">
        <v>41034720</v>
      </c>
      <c r="N83" s="20">
        <f>J83+K83</f>
        <v>136782400</v>
      </c>
      <c r="O83" s="136">
        <f t="shared" si="56"/>
        <v>50</v>
      </c>
      <c r="P83" s="20">
        <f>38392425+9168700+33200323</f>
        <v>80761448</v>
      </c>
      <c r="Q83" s="472">
        <f>19341000+23124600+10165000+3271000</f>
        <v>55901600</v>
      </c>
      <c r="R83" s="20"/>
      <c r="S83" s="20"/>
      <c r="T83" s="472">
        <f>P83+Q83</f>
        <v>136663048</v>
      </c>
      <c r="U83" s="472">
        <f t="shared" si="57"/>
        <v>99.912743159938714</v>
      </c>
      <c r="V83" s="472">
        <f t="shared" si="59"/>
        <v>119352</v>
      </c>
      <c r="W83" s="472">
        <f t="shared" si="55"/>
        <v>8.7256840061294444E-2</v>
      </c>
      <c r="X83" s="472">
        <f t="shared" si="60"/>
        <v>136901752</v>
      </c>
      <c r="Y83" s="472">
        <f t="shared" si="58"/>
        <v>50.04362842003065</v>
      </c>
    </row>
    <row r="84" spans="1:53" s="508" customFormat="1" ht="24">
      <c r="A84" s="447"/>
      <c r="B84" s="499">
        <v>1</v>
      </c>
      <c r="C84" s="499" t="s">
        <v>66</v>
      </c>
      <c r="D84" s="499" t="s">
        <v>68</v>
      </c>
      <c r="E84" s="499" t="s">
        <v>136</v>
      </c>
      <c r="F84" s="500"/>
      <c r="G84" s="501" t="s">
        <v>137</v>
      </c>
      <c r="H84" s="501"/>
      <c r="I84" s="502">
        <f>I85+I88+I91+I93</f>
        <v>163500000</v>
      </c>
      <c r="J84" s="502">
        <f t="shared" ref="J84:N84" si="69">J85+J88+J91+J93</f>
        <v>0</v>
      </c>
      <c r="K84" s="502">
        <f t="shared" si="69"/>
        <v>80870000</v>
      </c>
      <c r="L84" s="502">
        <f t="shared" si="69"/>
        <v>82630000</v>
      </c>
      <c r="M84" s="502">
        <f t="shared" si="69"/>
        <v>0</v>
      </c>
      <c r="N84" s="502">
        <f t="shared" si="69"/>
        <v>80870000</v>
      </c>
      <c r="O84" s="503">
        <f t="shared" si="56"/>
        <v>49.461773700305812</v>
      </c>
      <c r="P84" s="504">
        <f>P85+P88+P91+P93</f>
        <v>0</v>
      </c>
      <c r="Q84" s="505">
        <f>Q85+Q88+Q91+Q93</f>
        <v>40350000</v>
      </c>
      <c r="R84" s="506">
        <f t="shared" ref="R84:T84" si="70">R85+R88+R91+R93</f>
        <v>0</v>
      </c>
      <c r="S84" s="506">
        <f t="shared" si="70"/>
        <v>0</v>
      </c>
      <c r="T84" s="505">
        <f t="shared" si="70"/>
        <v>40350000</v>
      </c>
      <c r="U84" s="505">
        <f t="shared" si="57"/>
        <v>49.894893038209467</v>
      </c>
      <c r="V84" s="472">
        <f t="shared" si="59"/>
        <v>40520000</v>
      </c>
      <c r="W84" s="507">
        <f t="shared" si="55"/>
        <v>50.105106961790526</v>
      </c>
      <c r="X84" s="472">
        <f t="shared" si="60"/>
        <v>123150000</v>
      </c>
      <c r="Y84" s="507">
        <f t="shared" si="58"/>
        <v>75.321100917431195</v>
      </c>
      <c r="Z84" s="542"/>
      <c r="AA84" s="542"/>
      <c r="AB84" s="542"/>
      <c r="AC84" s="542"/>
      <c r="AD84" s="542"/>
      <c r="AE84" s="542"/>
      <c r="AF84" s="542"/>
      <c r="AG84" s="542"/>
      <c r="AH84" s="542"/>
      <c r="AI84" s="542"/>
      <c r="AJ84" s="542"/>
      <c r="AK84" s="542"/>
      <c r="AL84" s="542"/>
      <c r="AM84" s="542"/>
      <c r="AN84" s="542"/>
      <c r="AO84" s="542"/>
      <c r="AP84" s="542"/>
      <c r="AQ84" s="542"/>
      <c r="AR84" s="542"/>
      <c r="AS84" s="542"/>
      <c r="AT84" s="542"/>
      <c r="AU84" s="542"/>
      <c r="AV84" s="542"/>
      <c r="AW84" s="542"/>
      <c r="AX84" s="542"/>
      <c r="AY84" s="542"/>
      <c r="AZ84" s="542"/>
      <c r="BA84" s="542"/>
    </row>
    <row r="85" spans="1:53" s="484" customFormat="1">
      <c r="A85" s="481">
        <v>15</v>
      </c>
      <c r="B85" s="482">
        <v>1</v>
      </c>
      <c r="C85" s="482" t="s">
        <v>66</v>
      </c>
      <c r="D85" s="486" t="s">
        <v>68</v>
      </c>
      <c r="E85" s="482" t="s">
        <v>136</v>
      </c>
      <c r="F85" s="486" t="s">
        <v>66</v>
      </c>
      <c r="G85" s="143" t="s">
        <v>138</v>
      </c>
      <c r="H85" s="143"/>
      <c r="I85" s="144">
        <f>SUM(I86:I87)</f>
        <v>15000000</v>
      </c>
      <c r="J85" s="144">
        <f t="shared" ref="J85:N85" si="71">SUM(J86:J87)</f>
        <v>0</v>
      </c>
      <c r="K85" s="144">
        <f t="shared" si="71"/>
        <v>15000000</v>
      </c>
      <c r="L85" s="144">
        <f t="shared" si="71"/>
        <v>0</v>
      </c>
      <c r="M85" s="144">
        <f t="shared" si="71"/>
        <v>0</v>
      </c>
      <c r="N85" s="144">
        <f t="shared" si="71"/>
        <v>15000000</v>
      </c>
      <c r="O85" s="133">
        <f t="shared" si="56"/>
        <v>100</v>
      </c>
      <c r="P85" s="483">
        <f>SUM(P86:P87)</f>
        <v>0</v>
      </c>
      <c r="Q85" s="134">
        <f t="shared" ref="Q85:T85" si="72">SUM(Q86:Q87)</f>
        <v>7250000</v>
      </c>
      <c r="R85" s="134">
        <f t="shared" si="72"/>
        <v>0</v>
      </c>
      <c r="S85" s="134">
        <f t="shared" si="72"/>
        <v>0</v>
      </c>
      <c r="T85" s="134">
        <f t="shared" si="72"/>
        <v>7250000</v>
      </c>
      <c r="U85" s="134">
        <f t="shared" si="57"/>
        <v>48.333333333333336</v>
      </c>
      <c r="V85" s="135">
        <f t="shared" si="59"/>
        <v>7750000</v>
      </c>
      <c r="W85" s="134">
        <f t="shared" si="55"/>
        <v>51.666666666666671</v>
      </c>
      <c r="X85" s="135">
        <f t="shared" si="60"/>
        <v>7750000</v>
      </c>
      <c r="Y85" s="134">
        <f t="shared" si="58"/>
        <v>51.666666666666671</v>
      </c>
      <c r="Z85" s="540"/>
      <c r="AA85" s="540"/>
      <c r="AB85" s="540"/>
      <c r="AC85" s="540"/>
      <c r="AD85" s="540"/>
      <c r="AE85" s="540"/>
      <c r="AF85" s="540"/>
      <c r="AG85" s="540"/>
      <c r="AH85" s="540"/>
      <c r="AI85" s="540"/>
      <c r="AJ85" s="540"/>
      <c r="AK85" s="540"/>
      <c r="AL85" s="540"/>
      <c r="AM85" s="540"/>
      <c r="AN85" s="540"/>
      <c r="AO85" s="540"/>
      <c r="AP85" s="540"/>
      <c r="AQ85" s="540"/>
      <c r="AR85" s="540"/>
      <c r="AS85" s="540"/>
      <c r="AT85" s="540"/>
      <c r="AU85" s="540"/>
      <c r="AV85" s="540"/>
      <c r="AW85" s="540"/>
      <c r="AX85" s="540"/>
      <c r="AY85" s="540"/>
      <c r="AZ85" s="540"/>
      <c r="BA85" s="540"/>
    </row>
    <row r="86" spans="1:53">
      <c r="A86" s="447"/>
      <c r="B86" s="475">
        <v>5.2</v>
      </c>
      <c r="C86" s="475" t="s">
        <v>73</v>
      </c>
      <c r="D86" s="475" t="s">
        <v>66</v>
      </c>
      <c r="E86" s="475" t="s">
        <v>68</v>
      </c>
      <c r="F86" s="478" t="s">
        <v>123</v>
      </c>
      <c r="G86" s="12" t="s">
        <v>313</v>
      </c>
      <c r="H86" s="12"/>
      <c r="I86" s="13">
        <v>7500000</v>
      </c>
      <c r="J86" s="13">
        <v>0</v>
      </c>
      <c r="K86" s="13">
        <v>7500000</v>
      </c>
      <c r="L86" s="13">
        <v>0</v>
      </c>
      <c r="M86" s="17">
        <v>0</v>
      </c>
      <c r="N86" s="20">
        <f>J86+K86</f>
        <v>7500000</v>
      </c>
      <c r="O86" s="136">
        <f t="shared" si="56"/>
        <v>100</v>
      </c>
      <c r="P86" s="20"/>
      <c r="Q86" s="472"/>
      <c r="R86" s="20"/>
      <c r="S86" s="20"/>
      <c r="T86" s="466">
        <f>P86+Q86</f>
        <v>0</v>
      </c>
      <c r="U86" s="472">
        <f t="shared" si="57"/>
        <v>0</v>
      </c>
      <c r="V86" s="472">
        <f t="shared" si="59"/>
        <v>7500000</v>
      </c>
      <c r="W86" s="472">
        <f t="shared" si="55"/>
        <v>100</v>
      </c>
      <c r="X86" s="472">
        <f t="shared" si="60"/>
        <v>7500000</v>
      </c>
      <c r="Y86" s="472">
        <f t="shared" si="58"/>
        <v>100</v>
      </c>
    </row>
    <row r="87" spans="1:53">
      <c r="A87" s="447"/>
      <c r="B87" s="475">
        <v>5.2</v>
      </c>
      <c r="C87" s="475" t="s">
        <v>73</v>
      </c>
      <c r="D87" s="475" t="s">
        <v>66</v>
      </c>
      <c r="E87" s="475" t="s">
        <v>93</v>
      </c>
      <c r="F87" s="478" t="s">
        <v>116</v>
      </c>
      <c r="G87" s="12" t="s">
        <v>139</v>
      </c>
      <c r="H87" s="12"/>
      <c r="I87" s="13">
        <v>7500000</v>
      </c>
      <c r="J87" s="13">
        <v>0</v>
      </c>
      <c r="K87" s="13">
        <v>7500000</v>
      </c>
      <c r="L87" s="13">
        <v>0</v>
      </c>
      <c r="M87" s="17">
        <v>0</v>
      </c>
      <c r="N87" s="20">
        <f>J87+K87</f>
        <v>7500000</v>
      </c>
      <c r="O87" s="136">
        <f t="shared" si="56"/>
        <v>100</v>
      </c>
      <c r="P87" s="20"/>
      <c r="Q87" s="472">
        <f>7250000</f>
        <v>7250000</v>
      </c>
      <c r="R87" s="20"/>
      <c r="S87" s="20"/>
      <c r="T87" s="466">
        <f>P87+Q87</f>
        <v>7250000</v>
      </c>
      <c r="U87" s="472">
        <f t="shared" si="57"/>
        <v>96.666666666666671</v>
      </c>
      <c r="V87" s="472">
        <f t="shared" si="59"/>
        <v>250000</v>
      </c>
      <c r="W87" s="472">
        <f t="shared" si="55"/>
        <v>3.3333333333333335</v>
      </c>
      <c r="X87" s="472">
        <f t="shared" si="60"/>
        <v>250000</v>
      </c>
      <c r="Y87" s="472">
        <f t="shared" si="58"/>
        <v>3.3333333333333335</v>
      </c>
    </row>
    <row r="88" spans="1:53" s="484" customFormat="1">
      <c r="A88" s="494">
        <v>16</v>
      </c>
      <c r="B88" s="482">
        <v>1</v>
      </c>
      <c r="C88" s="482" t="s">
        <v>66</v>
      </c>
      <c r="D88" s="482" t="s">
        <v>68</v>
      </c>
      <c r="E88" s="486" t="s">
        <v>136</v>
      </c>
      <c r="F88" s="486" t="s">
        <v>97</v>
      </c>
      <c r="G88" s="143" t="s">
        <v>140</v>
      </c>
      <c r="H88" s="143"/>
      <c r="I88" s="144">
        <f>SUM(I89:I90)</f>
        <v>30000000</v>
      </c>
      <c r="J88" s="144">
        <f t="shared" ref="J88:N88" si="73">SUM(J89:J90)</f>
        <v>0</v>
      </c>
      <c r="K88" s="144">
        <f t="shared" si="73"/>
        <v>30000000</v>
      </c>
      <c r="L88" s="144">
        <f t="shared" si="73"/>
        <v>0</v>
      </c>
      <c r="M88" s="144">
        <f t="shared" si="73"/>
        <v>0</v>
      </c>
      <c r="N88" s="144">
        <f t="shared" si="73"/>
        <v>30000000</v>
      </c>
      <c r="O88" s="133">
        <f t="shared" si="56"/>
        <v>100</v>
      </c>
      <c r="P88" s="483">
        <f>SUM(P89:P90)</f>
        <v>0</v>
      </c>
      <c r="Q88" s="134">
        <f t="shared" ref="Q88:T88" si="74">SUM(Q89:Q90)</f>
        <v>0</v>
      </c>
      <c r="R88" s="134">
        <f t="shared" si="74"/>
        <v>0</v>
      </c>
      <c r="S88" s="134">
        <f t="shared" si="74"/>
        <v>0</v>
      </c>
      <c r="T88" s="134">
        <f t="shared" si="74"/>
        <v>0</v>
      </c>
      <c r="U88" s="134">
        <f t="shared" si="57"/>
        <v>0</v>
      </c>
      <c r="V88" s="135">
        <f t="shared" si="59"/>
        <v>30000000</v>
      </c>
      <c r="W88" s="134">
        <f t="shared" si="55"/>
        <v>100</v>
      </c>
      <c r="X88" s="135">
        <f t="shared" si="60"/>
        <v>30000000</v>
      </c>
      <c r="Y88" s="134">
        <f t="shared" si="58"/>
        <v>100</v>
      </c>
      <c r="Z88" s="540"/>
      <c r="AA88" s="540"/>
      <c r="AB88" s="540"/>
      <c r="AC88" s="540"/>
      <c r="AD88" s="540"/>
      <c r="AE88" s="540"/>
      <c r="AF88" s="540"/>
      <c r="AG88" s="540"/>
      <c r="AH88" s="540"/>
      <c r="AI88" s="540"/>
      <c r="AJ88" s="540"/>
      <c r="AK88" s="540"/>
      <c r="AL88" s="540"/>
      <c r="AM88" s="540"/>
      <c r="AN88" s="540"/>
      <c r="AO88" s="540"/>
      <c r="AP88" s="540"/>
      <c r="AQ88" s="540"/>
      <c r="AR88" s="540"/>
      <c r="AS88" s="540"/>
      <c r="AT88" s="540"/>
      <c r="AU88" s="540"/>
      <c r="AV88" s="540"/>
      <c r="AW88" s="540"/>
      <c r="AX88" s="540"/>
      <c r="AY88" s="540"/>
      <c r="AZ88" s="540"/>
      <c r="BA88" s="540"/>
    </row>
    <row r="89" spans="1:53">
      <c r="A89" s="447"/>
      <c r="B89" s="479">
        <v>5.2</v>
      </c>
      <c r="C89" s="480" t="s">
        <v>73</v>
      </c>
      <c r="D89" s="480">
        <v>10</v>
      </c>
      <c r="E89" s="480" t="s">
        <v>68</v>
      </c>
      <c r="F89" s="480" t="s">
        <v>111</v>
      </c>
      <c r="G89" s="19" t="s">
        <v>314</v>
      </c>
      <c r="H89" s="19"/>
      <c r="I89" s="13">
        <v>24000000</v>
      </c>
      <c r="J89" s="13">
        <v>0</v>
      </c>
      <c r="K89" s="13">
        <v>24000000</v>
      </c>
      <c r="L89" s="13">
        <v>0</v>
      </c>
      <c r="M89" s="17">
        <v>0</v>
      </c>
      <c r="N89" s="20">
        <f>J89+K89</f>
        <v>24000000</v>
      </c>
      <c r="O89" s="136">
        <f t="shared" si="56"/>
        <v>100</v>
      </c>
      <c r="P89" s="20"/>
      <c r="Q89" s="472"/>
      <c r="R89" s="20"/>
      <c r="S89" s="20"/>
      <c r="T89" s="466">
        <f>P89+Q89</f>
        <v>0</v>
      </c>
      <c r="U89" s="472">
        <f t="shared" si="57"/>
        <v>0</v>
      </c>
      <c r="V89" s="472">
        <f t="shared" si="59"/>
        <v>24000000</v>
      </c>
      <c r="W89" s="472">
        <f t="shared" si="55"/>
        <v>100</v>
      </c>
      <c r="X89" s="472">
        <f t="shared" si="60"/>
        <v>24000000</v>
      </c>
      <c r="Y89" s="472">
        <f t="shared" si="58"/>
        <v>100</v>
      </c>
    </row>
    <row r="90" spans="1:53">
      <c r="A90" s="447"/>
      <c r="B90" s="475">
        <v>5.2</v>
      </c>
      <c r="C90" s="478" t="s">
        <v>73</v>
      </c>
      <c r="D90" s="478">
        <v>10</v>
      </c>
      <c r="E90" s="478" t="s">
        <v>73</v>
      </c>
      <c r="F90" s="478" t="s">
        <v>116</v>
      </c>
      <c r="G90" s="12" t="s">
        <v>315</v>
      </c>
      <c r="H90" s="12"/>
      <c r="I90" s="13">
        <v>6000000</v>
      </c>
      <c r="J90" s="13">
        <v>0</v>
      </c>
      <c r="K90" s="13">
        <v>6000000</v>
      </c>
      <c r="L90" s="13">
        <v>0</v>
      </c>
      <c r="M90" s="17">
        <v>0</v>
      </c>
      <c r="N90" s="20">
        <f>J90+K90</f>
        <v>6000000</v>
      </c>
      <c r="O90" s="136">
        <f t="shared" si="56"/>
        <v>100</v>
      </c>
      <c r="P90" s="20"/>
      <c r="Q90" s="472"/>
      <c r="R90" s="20"/>
      <c r="S90" s="20"/>
      <c r="T90" s="466">
        <f>P90+Q90</f>
        <v>0</v>
      </c>
      <c r="U90" s="472">
        <f t="shared" si="57"/>
        <v>0</v>
      </c>
      <c r="V90" s="472">
        <f t="shared" si="59"/>
        <v>6000000</v>
      </c>
      <c r="W90" s="472">
        <f t="shared" si="55"/>
        <v>100</v>
      </c>
      <c r="X90" s="472">
        <f t="shared" si="60"/>
        <v>6000000</v>
      </c>
      <c r="Y90" s="472">
        <f t="shared" si="58"/>
        <v>100</v>
      </c>
    </row>
    <row r="91" spans="1:53" s="484" customFormat="1" ht="24">
      <c r="A91" s="494">
        <v>17</v>
      </c>
      <c r="B91" s="482">
        <v>1</v>
      </c>
      <c r="C91" s="482" t="s">
        <v>66</v>
      </c>
      <c r="D91" s="482" t="s">
        <v>68</v>
      </c>
      <c r="E91" s="486" t="s">
        <v>136</v>
      </c>
      <c r="F91" s="482">
        <v>10</v>
      </c>
      <c r="G91" s="143" t="s">
        <v>257</v>
      </c>
      <c r="H91" s="143"/>
      <c r="I91" s="144">
        <f>I92</f>
        <v>85000000</v>
      </c>
      <c r="J91" s="144">
        <f t="shared" ref="J91:N91" si="75">J92</f>
        <v>0</v>
      </c>
      <c r="K91" s="144">
        <f t="shared" si="75"/>
        <v>2370000</v>
      </c>
      <c r="L91" s="144">
        <f t="shared" si="75"/>
        <v>82630000</v>
      </c>
      <c r="M91" s="144">
        <f t="shared" si="75"/>
        <v>0</v>
      </c>
      <c r="N91" s="144">
        <f t="shared" si="75"/>
        <v>2370000</v>
      </c>
      <c r="O91" s="133">
        <f t="shared" si="56"/>
        <v>2.7882352941176469</v>
      </c>
      <c r="P91" s="483">
        <f>SUM(P92)</f>
        <v>0</v>
      </c>
      <c r="Q91" s="134">
        <f t="shared" ref="Q91:T91" si="76">SUM(Q92)</f>
        <v>0</v>
      </c>
      <c r="R91" s="134">
        <f t="shared" si="76"/>
        <v>0</v>
      </c>
      <c r="S91" s="134">
        <f t="shared" si="76"/>
        <v>0</v>
      </c>
      <c r="T91" s="134">
        <f t="shared" si="76"/>
        <v>0</v>
      </c>
      <c r="U91" s="134">
        <f t="shared" si="57"/>
        <v>0</v>
      </c>
      <c r="V91" s="135">
        <f t="shared" si="59"/>
        <v>2370000</v>
      </c>
      <c r="W91" s="134">
        <f t="shared" si="55"/>
        <v>100</v>
      </c>
      <c r="X91" s="135">
        <f t="shared" si="60"/>
        <v>85000000</v>
      </c>
      <c r="Y91" s="134">
        <f t="shared" si="58"/>
        <v>100</v>
      </c>
      <c r="Z91" s="540"/>
      <c r="AA91" s="540"/>
      <c r="AB91" s="540"/>
      <c r="AC91" s="540"/>
      <c r="AD91" s="540"/>
      <c r="AE91" s="540"/>
      <c r="AF91" s="540"/>
      <c r="AG91" s="540"/>
      <c r="AH91" s="540"/>
      <c r="AI91" s="540"/>
      <c r="AJ91" s="540"/>
      <c r="AK91" s="540"/>
      <c r="AL91" s="540"/>
      <c r="AM91" s="540"/>
      <c r="AN91" s="540"/>
      <c r="AO91" s="540"/>
      <c r="AP91" s="540"/>
      <c r="AQ91" s="540"/>
      <c r="AR91" s="540"/>
      <c r="AS91" s="540"/>
      <c r="AT91" s="540"/>
      <c r="AU91" s="540"/>
      <c r="AV91" s="540"/>
      <c r="AW91" s="540"/>
      <c r="AX91" s="540"/>
      <c r="AY91" s="540"/>
      <c r="AZ91" s="540"/>
      <c r="BA91" s="540"/>
    </row>
    <row r="92" spans="1:53">
      <c r="A92" s="485"/>
      <c r="B92" s="479">
        <v>5.2</v>
      </c>
      <c r="C92" s="479" t="s">
        <v>93</v>
      </c>
      <c r="D92" s="479" t="s">
        <v>80</v>
      </c>
      <c r="E92" s="480" t="s">
        <v>68</v>
      </c>
      <c r="F92" s="480" t="s">
        <v>116</v>
      </c>
      <c r="G92" s="15" t="s">
        <v>316</v>
      </c>
      <c r="H92" s="15"/>
      <c r="I92" s="14">
        <v>85000000</v>
      </c>
      <c r="J92" s="14">
        <v>0</v>
      </c>
      <c r="K92" s="14">
        <v>2370000</v>
      </c>
      <c r="L92" s="14">
        <v>82630000</v>
      </c>
      <c r="M92" s="138">
        <v>0</v>
      </c>
      <c r="N92" s="20">
        <f>J92+K92</f>
        <v>2370000</v>
      </c>
      <c r="O92" s="136">
        <f t="shared" si="56"/>
        <v>2.7882352941176469</v>
      </c>
      <c r="P92" s="20"/>
      <c r="Q92" s="472"/>
      <c r="R92" s="20"/>
      <c r="S92" s="20"/>
      <c r="T92" s="466">
        <f>P92+Q92</f>
        <v>0</v>
      </c>
      <c r="U92" s="472">
        <f t="shared" si="57"/>
        <v>0</v>
      </c>
      <c r="V92" s="472">
        <f t="shared" si="59"/>
        <v>2370000</v>
      </c>
      <c r="W92" s="472">
        <f t="shared" si="55"/>
        <v>100</v>
      </c>
      <c r="X92" s="472">
        <f t="shared" si="60"/>
        <v>85000000</v>
      </c>
      <c r="Y92" s="472">
        <f t="shared" si="58"/>
        <v>100</v>
      </c>
    </row>
    <row r="93" spans="1:53" s="484" customFormat="1" ht="24">
      <c r="A93" s="481">
        <v>18</v>
      </c>
      <c r="B93" s="482">
        <v>1</v>
      </c>
      <c r="C93" s="482" t="s">
        <v>66</v>
      </c>
      <c r="D93" s="486" t="s">
        <v>68</v>
      </c>
      <c r="E93" s="486" t="s">
        <v>136</v>
      </c>
      <c r="F93" s="486">
        <v>11</v>
      </c>
      <c r="G93" s="143" t="s">
        <v>317</v>
      </c>
      <c r="H93" s="143"/>
      <c r="I93" s="144">
        <f>SUM(I94:I95)</f>
        <v>33500000</v>
      </c>
      <c r="J93" s="144">
        <f t="shared" ref="J93:N93" si="77">SUM(J94:J95)</f>
        <v>0</v>
      </c>
      <c r="K93" s="144">
        <f t="shared" si="77"/>
        <v>33500000</v>
      </c>
      <c r="L93" s="144">
        <f t="shared" si="77"/>
        <v>0</v>
      </c>
      <c r="M93" s="144">
        <f t="shared" si="77"/>
        <v>0</v>
      </c>
      <c r="N93" s="144">
        <f t="shared" si="77"/>
        <v>33500000</v>
      </c>
      <c r="O93" s="133">
        <f t="shared" si="56"/>
        <v>100</v>
      </c>
      <c r="P93" s="483">
        <f>SUM(P94:P95)</f>
        <v>0</v>
      </c>
      <c r="Q93" s="134">
        <f t="shared" ref="Q93:T93" si="78">SUM(Q94:Q95)</f>
        <v>33100000</v>
      </c>
      <c r="R93" s="134">
        <f t="shared" si="78"/>
        <v>0</v>
      </c>
      <c r="S93" s="134">
        <f t="shared" si="78"/>
        <v>0</v>
      </c>
      <c r="T93" s="134">
        <f t="shared" si="78"/>
        <v>33100000</v>
      </c>
      <c r="U93" s="134">
        <f t="shared" si="57"/>
        <v>98.805970149253724</v>
      </c>
      <c r="V93" s="135">
        <f t="shared" si="59"/>
        <v>400000</v>
      </c>
      <c r="W93" s="134">
        <f t="shared" si="55"/>
        <v>1.1940298507462688</v>
      </c>
      <c r="X93" s="135">
        <f t="shared" si="60"/>
        <v>400000</v>
      </c>
      <c r="Y93" s="134">
        <f t="shared" si="58"/>
        <v>1.1940298507462688</v>
      </c>
      <c r="Z93" s="540"/>
      <c r="AA93" s="540"/>
      <c r="AB93" s="540"/>
      <c r="AC93" s="540"/>
      <c r="AD93" s="540"/>
      <c r="AE93" s="540"/>
      <c r="AF93" s="540"/>
      <c r="AG93" s="540"/>
      <c r="AH93" s="540"/>
      <c r="AI93" s="540"/>
      <c r="AJ93" s="540"/>
      <c r="AK93" s="540"/>
      <c r="AL93" s="540"/>
      <c r="AM93" s="540"/>
      <c r="AN93" s="540"/>
      <c r="AO93" s="540"/>
      <c r="AP93" s="540"/>
      <c r="AQ93" s="540"/>
      <c r="AR93" s="540"/>
      <c r="AS93" s="540"/>
      <c r="AT93" s="540"/>
      <c r="AU93" s="540"/>
      <c r="AV93" s="540"/>
      <c r="AW93" s="540"/>
      <c r="AX93" s="540"/>
      <c r="AY93" s="540"/>
      <c r="AZ93" s="540"/>
      <c r="BA93" s="540"/>
    </row>
    <row r="94" spans="1:53">
      <c r="A94" s="447"/>
      <c r="B94" s="475">
        <v>5.2</v>
      </c>
      <c r="C94" s="475" t="s">
        <v>73</v>
      </c>
      <c r="D94" s="475" t="s">
        <v>66</v>
      </c>
      <c r="E94" s="475" t="s">
        <v>73</v>
      </c>
      <c r="F94" s="478" t="s">
        <v>123</v>
      </c>
      <c r="G94" s="12" t="s">
        <v>318</v>
      </c>
      <c r="H94" s="12"/>
      <c r="I94" s="13">
        <v>11000000</v>
      </c>
      <c r="J94" s="13">
        <v>0</v>
      </c>
      <c r="K94" s="13">
        <v>11000000</v>
      </c>
      <c r="L94" s="13">
        <v>0</v>
      </c>
      <c r="M94" s="17">
        <v>0</v>
      </c>
      <c r="N94" s="20">
        <f>J94+K94</f>
        <v>11000000</v>
      </c>
      <c r="O94" s="136">
        <f t="shared" si="56"/>
        <v>100</v>
      </c>
      <c r="P94" s="20"/>
      <c r="Q94" s="472">
        <f>10700000</f>
        <v>10700000</v>
      </c>
      <c r="R94" s="20"/>
      <c r="S94" s="20"/>
      <c r="T94" s="466">
        <f>P94+Q94</f>
        <v>10700000</v>
      </c>
      <c r="U94" s="472">
        <f t="shared" si="57"/>
        <v>97.27272727272728</v>
      </c>
      <c r="V94" s="472">
        <f t="shared" si="59"/>
        <v>300000</v>
      </c>
      <c r="W94" s="472">
        <f t="shared" si="55"/>
        <v>2.7272727272727271</v>
      </c>
      <c r="X94" s="472">
        <f t="shared" si="60"/>
        <v>300000</v>
      </c>
      <c r="Y94" s="472">
        <f t="shared" si="58"/>
        <v>2.7272727272727271</v>
      </c>
    </row>
    <row r="95" spans="1:53">
      <c r="A95" s="485"/>
      <c r="B95" s="479">
        <v>5.2</v>
      </c>
      <c r="C95" s="479" t="s">
        <v>93</v>
      </c>
      <c r="D95" s="479" t="s">
        <v>97</v>
      </c>
      <c r="E95" s="479" t="s">
        <v>68</v>
      </c>
      <c r="F95" s="480" t="s">
        <v>319</v>
      </c>
      <c r="G95" s="15" t="s">
        <v>320</v>
      </c>
      <c r="H95" s="15"/>
      <c r="I95" s="14">
        <v>22500000</v>
      </c>
      <c r="J95" s="14">
        <v>0</v>
      </c>
      <c r="K95" s="14">
        <v>22500000</v>
      </c>
      <c r="L95" s="14">
        <v>0</v>
      </c>
      <c r="M95" s="138">
        <v>0</v>
      </c>
      <c r="N95" s="20">
        <f>J95+K95</f>
        <v>22500000</v>
      </c>
      <c r="O95" s="136">
        <f t="shared" si="56"/>
        <v>100</v>
      </c>
      <c r="P95" s="20"/>
      <c r="Q95" s="472">
        <f>22400000</f>
        <v>22400000</v>
      </c>
      <c r="R95" s="20"/>
      <c r="S95" s="20"/>
      <c r="T95" s="466">
        <f>P95+Q95</f>
        <v>22400000</v>
      </c>
      <c r="U95" s="472">
        <f t="shared" si="57"/>
        <v>99.555555555555557</v>
      </c>
      <c r="V95" s="472">
        <f t="shared" si="59"/>
        <v>100000</v>
      </c>
      <c r="W95" s="472">
        <f t="shared" si="55"/>
        <v>0.44444444444444442</v>
      </c>
      <c r="X95" s="472">
        <f t="shared" si="60"/>
        <v>100000</v>
      </c>
      <c r="Y95" s="472">
        <f t="shared" si="58"/>
        <v>0.44444444444444442</v>
      </c>
    </row>
    <row r="96" spans="1:53" s="226" customFormat="1" ht="24">
      <c r="A96" s="447"/>
      <c r="B96" s="489">
        <v>1</v>
      </c>
      <c r="C96" s="489" t="s">
        <v>66</v>
      </c>
      <c r="D96" s="489" t="s">
        <v>68</v>
      </c>
      <c r="E96" s="489" t="s">
        <v>141</v>
      </c>
      <c r="F96" s="490"/>
      <c r="G96" s="493" t="s">
        <v>142</v>
      </c>
      <c r="H96" s="493"/>
      <c r="I96" s="492">
        <f>I97+I103+I107</f>
        <v>86403163</v>
      </c>
      <c r="J96" s="492">
        <f t="shared" ref="J96:N96" si="79">J97+J103+J107</f>
        <v>22426087</v>
      </c>
      <c r="K96" s="492">
        <f t="shared" si="79"/>
        <v>21816732</v>
      </c>
      <c r="L96" s="492">
        <f t="shared" si="79"/>
        <v>21105172</v>
      </c>
      <c r="M96" s="492">
        <f t="shared" si="79"/>
        <v>21055172</v>
      </c>
      <c r="N96" s="492">
        <f t="shared" si="79"/>
        <v>44242819</v>
      </c>
      <c r="O96" s="465">
        <f t="shared" si="56"/>
        <v>51.205091878407273</v>
      </c>
      <c r="P96" s="32">
        <f>P97+P103+P107</f>
        <v>10646899</v>
      </c>
      <c r="Q96" s="466">
        <f t="shared" ref="Q96:T96" si="80">Q97+Q103+Q107</f>
        <v>15558954</v>
      </c>
      <c r="R96" s="32">
        <f t="shared" si="80"/>
        <v>0</v>
      </c>
      <c r="S96" s="32">
        <f t="shared" si="80"/>
        <v>0</v>
      </c>
      <c r="T96" s="32">
        <f t="shared" si="80"/>
        <v>26205853</v>
      </c>
      <c r="U96" s="466">
        <f t="shared" si="57"/>
        <v>59.231878963227913</v>
      </c>
      <c r="V96" s="472">
        <f t="shared" si="59"/>
        <v>18036966</v>
      </c>
      <c r="W96" s="472">
        <f t="shared" si="55"/>
        <v>40.768121036772094</v>
      </c>
      <c r="X96" s="472">
        <f t="shared" si="60"/>
        <v>60197310</v>
      </c>
      <c r="Y96" s="472">
        <f t="shared" si="58"/>
        <v>69.670261955572158</v>
      </c>
      <c r="Z96" s="533"/>
      <c r="AA96" s="533"/>
      <c r="AB96" s="533"/>
      <c r="AC96" s="533"/>
      <c r="AD96" s="533"/>
      <c r="AE96" s="533"/>
      <c r="AF96" s="533"/>
      <c r="AG96" s="533"/>
      <c r="AH96" s="533"/>
      <c r="AI96" s="533"/>
      <c r="AJ96" s="533"/>
      <c r="AK96" s="533"/>
      <c r="AL96" s="533"/>
      <c r="AM96" s="533"/>
      <c r="AN96" s="533"/>
      <c r="AO96" s="533"/>
      <c r="AP96" s="533"/>
      <c r="AQ96" s="533"/>
      <c r="AR96" s="533"/>
      <c r="AS96" s="533"/>
      <c r="AT96" s="533"/>
      <c r="AU96" s="533"/>
      <c r="AV96" s="533"/>
      <c r="AW96" s="533"/>
      <c r="AX96" s="533"/>
      <c r="AY96" s="533"/>
      <c r="AZ96" s="533"/>
      <c r="BA96" s="533"/>
    </row>
    <row r="97" spans="1:53" s="484" customFormat="1">
      <c r="A97" s="481">
        <v>19</v>
      </c>
      <c r="B97" s="482">
        <v>1</v>
      </c>
      <c r="C97" s="482" t="s">
        <v>66</v>
      </c>
      <c r="D97" s="482" t="s">
        <v>68</v>
      </c>
      <c r="E97" s="482" t="s">
        <v>141</v>
      </c>
      <c r="F97" s="486" t="s">
        <v>68</v>
      </c>
      <c r="G97" s="143" t="s">
        <v>143</v>
      </c>
      <c r="H97" s="143"/>
      <c r="I97" s="144">
        <f>SUM(I98:I102)</f>
        <v>4182475</v>
      </c>
      <c r="J97" s="144">
        <f t="shared" ref="J97:N97" si="81">SUM(J98:J102)</f>
        <v>1870915</v>
      </c>
      <c r="K97" s="144">
        <f t="shared" si="81"/>
        <v>1261560</v>
      </c>
      <c r="L97" s="144">
        <f t="shared" si="81"/>
        <v>550000</v>
      </c>
      <c r="M97" s="144">
        <f t="shared" si="81"/>
        <v>500000</v>
      </c>
      <c r="N97" s="144">
        <f t="shared" si="81"/>
        <v>3132475</v>
      </c>
      <c r="O97" s="133">
        <f t="shared" si="56"/>
        <v>74.895247431245849</v>
      </c>
      <c r="P97" s="483">
        <f>SUM(P98:P102)</f>
        <v>0</v>
      </c>
      <c r="Q97" s="134">
        <f t="shared" ref="Q97:T97" si="82">SUM(Q98:Q102)</f>
        <v>500000</v>
      </c>
      <c r="R97" s="134">
        <f t="shared" si="82"/>
        <v>0</v>
      </c>
      <c r="S97" s="134">
        <f t="shared" si="82"/>
        <v>0</v>
      </c>
      <c r="T97" s="134">
        <f t="shared" si="82"/>
        <v>500000</v>
      </c>
      <c r="U97" s="134">
        <f t="shared" si="57"/>
        <v>15.961819328167023</v>
      </c>
      <c r="V97" s="135">
        <f t="shared" si="59"/>
        <v>2632475</v>
      </c>
      <c r="W97" s="134">
        <f t="shared" si="55"/>
        <v>84.038180671832976</v>
      </c>
      <c r="X97" s="135">
        <f t="shared" si="60"/>
        <v>3682475</v>
      </c>
      <c r="Y97" s="134">
        <f t="shared" si="58"/>
        <v>88.045355919640883</v>
      </c>
      <c r="Z97" s="540"/>
      <c r="AA97" s="540"/>
      <c r="AB97" s="540"/>
      <c r="AC97" s="540"/>
      <c r="AD97" s="540"/>
      <c r="AE97" s="540"/>
      <c r="AF97" s="540"/>
      <c r="AG97" s="540"/>
      <c r="AH97" s="540"/>
      <c r="AI97" s="540"/>
      <c r="AJ97" s="540"/>
      <c r="AK97" s="540"/>
      <c r="AL97" s="540"/>
      <c r="AM97" s="540"/>
      <c r="AN97" s="540"/>
      <c r="AO97" s="540"/>
      <c r="AP97" s="540"/>
      <c r="AQ97" s="540"/>
      <c r="AR97" s="540"/>
      <c r="AS97" s="540"/>
      <c r="AT97" s="540"/>
      <c r="AU97" s="540"/>
      <c r="AV97" s="540"/>
      <c r="AW97" s="540"/>
      <c r="AX97" s="540"/>
      <c r="AY97" s="540"/>
      <c r="AZ97" s="540"/>
      <c r="BA97" s="540"/>
    </row>
    <row r="98" spans="1:53" ht="24">
      <c r="A98" s="447"/>
      <c r="B98" s="475" t="s">
        <v>72</v>
      </c>
      <c r="C98" s="475" t="s">
        <v>73</v>
      </c>
      <c r="D98" s="475" t="s">
        <v>68</v>
      </c>
      <c r="E98" s="475" t="s">
        <v>68</v>
      </c>
      <c r="F98" s="478" t="s">
        <v>74</v>
      </c>
      <c r="G98" s="12" t="s">
        <v>75</v>
      </c>
      <c r="H98" s="12"/>
      <c r="I98" s="13">
        <v>2150560</v>
      </c>
      <c r="J98" s="13">
        <v>650000</v>
      </c>
      <c r="K98" s="13">
        <v>500560</v>
      </c>
      <c r="L98" s="13">
        <v>500000</v>
      </c>
      <c r="M98" s="17">
        <v>500000</v>
      </c>
      <c r="N98" s="20">
        <f>J98+K98</f>
        <v>1150560</v>
      </c>
      <c r="O98" s="136">
        <f t="shared" si="56"/>
        <v>53.500483594970618</v>
      </c>
      <c r="P98" s="20"/>
      <c r="Q98" s="472"/>
      <c r="R98" s="20"/>
      <c r="S98" s="20"/>
      <c r="T98" s="466">
        <f>P98+Q98</f>
        <v>0</v>
      </c>
      <c r="U98" s="472">
        <f t="shared" si="57"/>
        <v>0</v>
      </c>
      <c r="V98" s="472">
        <f t="shared" si="59"/>
        <v>1150560</v>
      </c>
      <c r="W98" s="472">
        <f t="shared" si="55"/>
        <v>100</v>
      </c>
      <c r="X98" s="472">
        <f t="shared" si="60"/>
        <v>2150560</v>
      </c>
      <c r="Y98" s="472">
        <f t="shared" si="58"/>
        <v>100</v>
      </c>
    </row>
    <row r="99" spans="1:53" ht="24">
      <c r="A99" s="447"/>
      <c r="B99" s="475" t="s">
        <v>72</v>
      </c>
      <c r="C99" s="475" t="s">
        <v>73</v>
      </c>
      <c r="D99" s="475" t="s">
        <v>68</v>
      </c>
      <c r="E99" s="475" t="s">
        <v>68</v>
      </c>
      <c r="F99" s="478" t="s">
        <v>308</v>
      </c>
      <c r="G99" s="12" t="s">
        <v>309</v>
      </c>
      <c r="H99" s="12"/>
      <c r="I99" s="13">
        <v>469915</v>
      </c>
      <c r="J99" s="13">
        <v>469915</v>
      </c>
      <c r="K99" s="13">
        <v>0</v>
      </c>
      <c r="L99" s="13">
        <v>0</v>
      </c>
      <c r="M99" s="17">
        <v>0</v>
      </c>
      <c r="N99" s="20">
        <f t="shared" ref="N99:N102" si="83">J99+K99</f>
        <v>469915</v>
      </c>
      <c r="O99" s="136">
        <f t="shared" si="56"/>
        <v>100</v>
      </c>
      <c r="P99" s="20"/>
      <c r="Q99" s="472"/>
      <c r="R99" s="20"/>
      <c r="S99" s="20"/>
      <c r="T99" s="466">
        <f t="shared" ref="T99:T102" si="84">P99+Q99</f>
        <v>0</v>
      </c>
      <c r="U99" s="472">
        <f t="shared" si="57"/>
        <v>0</v>
      </c>
      <c r="V99" s="472">
        <f t="shared" si="59"/>
        <v>469915</v>
      </c>
      <c r="W99" s="472">
        <f t="shared" si="55"/>
        <v>100</v>
      </c>
      <c r="X99" s="472">
        <f t="shared" si="60"/>
        <v>469915</v>
      </c>
      <c r="Y99" s="472">
        <f t="shared" si="58"/>
        <v>100</v>
      </c>
    </row>
    <row r="100" spans="1:53">
      <c r="A100" s="485"/>
      <c r="B100" s="479" t="s">
        <v>72</v>
      </c>
      <c r="C100" s="479" t="s">
        <v>73</v>
      </c>
      <c r="D100" s="479" t="s">
        <v>68</v>
      </c>
      <c r="E100" s="480" t="s">
        <v>68</v>
      </c>
      <c r="F100" s="480" t="s">
        <v>144</v>
      </c>
      <c r="G100" s="15" t="s">
        <v>145</v>
      </c>
      <c r="H100" s="15"/>
      <c r="I100" s="14">
        <v>500000</v>
      </c>
      <c r="J100" s="14">
        <v>250000</v>
      </c>
      <c r="K100" s="14">
        <v>250000</v>
      </c>
      <c r="L100" s="14">
        <v>0</v>
      </c>
      <c r="M100" s="138">
        <v>0</v>
      </c>
      <c r="N100" s="20">
        <f t="shared" si="83"/>
        <v>500000</v>
      </c>
      <c r="O100" s="136">
        <f t="shared" si="56"/>
        <v>100</v>
      </c>
      <c r="P100" s="20"/>
      <c r="Q100" s="472">
        <f>500000</f>
        <v>500000</v>
      </c>
      <c r="R100" s="20"/>
      <c r="S100" s="20"/>
      <c r="T100" s="466">
        <f t="shared" si="84"/>
        <v>500000</v>
      </c>
      <c r="U100" s="472">
        <f t="shared" si="57"/>
        <v>100</v>
      </c>
      <c r="V100" s="472">
        <f t="shared" si="59"/>
        <v>0</v>
      </c>
      <c r="W100" s="472">
        <f t="shared" si="55"/>
        <v>0</v>
      </c>
      <c r="X100" s="472">
        <f t="shared" si="60"/>
        <v>0</v>
      </c>
      <c r="Y100" s="472">
        <f t="shared" si="58"/>
        <v>0</v>
      </c>
    </row>
    <row r="101" spans="1:53" ht="24">
      <c r="A101" s="447"/>
      <c r="B101" s="475" t="s">
        <v>72</v>
      </c>
      <c r="C101" s="475" t="s">
        <v>73</v>
      </c>
      <c r="D101" s="475" t="s">
        <v>68</v>
      </c>
      <c r="E101" s="478" t="s">
        <v>68</v>
      </c>
      <c r="F101" s="478" t="s">
        <v>190</v>
      </c>
      <c r="G101" s="12" t="s">
        <v>310</v>
      </c>
      <c r="H101" s="12"/>
      <c r="I101" s="13">
        <v>912000</v>
      </c>
      <c r="J101" s="13">
        <v>451000</v>
      </c>
      <c r="K101" s="13">
        <v>461000</v>
      </c>
      <c r="L101" s="13">
        <v>0</v>
      </c>
      <c r="M101" s="17">
        <v>0</v>
      </c>
      <c r="N101" s="20">
        <f t="shared" si="83"/>
        <v>912000</v>
      </c>
      <c r="O101" s="136">
        <f t="shared" si="56"/>
        <v>100</v>
      </c>
      <c r="P101" s="20"/>
      <c r="Q101" s="472"/>
      <c r="R101" s="20"/>
      <c r="S101" s="20"/>
      <c r="T101" s="466">
        <f t="shared" si="84"/>
        <v>0</v>
      </c>
      <c r="U101" s="472">
        <f t="shared" si="57"/>
        <v>0</v>
      </c>
      <c r="V101" s="472">
        <f t="shared" si="59"/>
        <v>912000</v>
      </c>
      <c r="W101" s="472">
        <f t="shared" si="55"/>
        <v>100</v>
      </c>
      <c r="X101" s="472">
        <f t="shared" si="60"/>
        <v>912000</v>
      </c>
      <c r="Y101" s="472">
        <f t="shared" si="58"/>
        <v>100</v>
      </c>
    </row>
    <row r="102" spans="1:53">
      <c r="A102" s="485"/>
      <c r="B102" s="475" t="s">
        <v>72</v>
      </c>
      <c r="C102" s="475" t="s">
        <v>73</v>
      </c>
      <c r="D102" s="478" t="s">
        <v>68</v>
      </c>
      <c r="E102" s="475" t="s">
        <v>68</v>
      </c>
      <c r="F102" s="475" t="s">
        <v>146</v>
      </c>
      <c r="G102" s="12" t="s">
        <v>147</v>
      </c>
      <c r="H102" s="12"/>
      <c r="I102" s="13">
        <v>150000</v>
      </c>
      <c r="J102" s="13">
        <v>50000</v>
      </c>
      <c r="K102" s="13">
        <v>50000</v>
      </c>
      <c r="L102" s="13">
        <v>50000</v>
      </c>
      <c r="M102" s="17">
        <v>0</v>
      </c>
      <c r="N102" s="20">
        <f t="shared" si="83"/>
        <v>100000</v>
      </c>
      <c r="O102" s="136">
        <f t="shared" si="56"/>
        <v>66.666666666666657</v>
      </c>
      <c r="P102" s="20"/>
      <c r="Q102" s="472"/>
      <c r="R102" s="20"/>
      <c r="S102" s="20"/>
      <c r="T102" s="466">
        <f t="shared" si="84"/>
        <v>0</v>
      </c>
      <c r="U102" s="472">
        <f t="shared" si="57"/>
        <v>0</v>
      </c>
      <c r="V102" s="472">
        <f t="shared" si="59"/>
        <v>100000</v>
      </c>
      <c r="W102" s="472">
        <f t="shared" si="55"/>
        <v>100</v>
      </c>
      <c r="X102" s="472">
        <f t="shared" si="60"/>
        <v>150000</v>
      </c>
      <c r="Y102" s="472">
        <f t="shared" si="58"/>
        <v>100</v>
      </c>
    </row>
    <row r="103" spans="1:53" s="484" customFormat="1" ht="24">
      <c r="A103" s="494">
        <v>20</v>
      </c>
      <c r="B103" s="482">
        <v>1</v>
      </c>
      <c r="C103" s="482" t="s">
        <v>66</v>
      </c>
      <c r="D103" s="482" t="s">
        <v>68</v>
      </c>
      <c r="E103" s="486" t="s">
        <v>141</v>
      </c>
      <c r="F103" s="482" t="s">
        <v>73</v>
      </c>
      <c r="G103" s="143" t="s">
        <v>148</v>
      </c>
      <c r="H103" s="143"/>
      <c r="I103" s="144">
        <f>SUM(I104:I106)</f>
        <v>62420688</v>
      </c>
      <c r="J103" s="144">
        <f t="shared" ref="J103:N103" si="85">SUM(J104:J106)</f>
        <v>15605172</v>
      </c>
      <c r="K103" s="144">
        <f t="shared" si="85"/>
        <v>15605172</v>
      </c>
      <c r="L103" s="144">
        <f t="shared" si="85"/>
        <v>15605172</v>
      </c>
      <c r="M103" s="144">
        <f t="shared" si="85"/>
        <v>15605172</v>
      </c>
      <c r="N103" s="144">
        <f t="shared" si="85"/>
        <v>31210344</v>
      </c>
      <c r="O103" s="133">
        <f t="shared" si="56"/>
        <v>50</v>
      </c>
      <c r="P103" s="483">
        <f>SUM(P104:P106)</f>
        <v>8146899</v>
      </c>
      <c r="Q103" s="134">
        <f t="shared" ref="Q103:T103" si="86">SUM(Q104:Q106)</f>
        <v>9708954</v>
      </c>
      <c r="R103" s="134">
        <f t="shared" si="86"/>
        <v>0</v>
      </c>
      <c r="S103" s="134">
        <f t="shared" si="86"/>
        <v>0</v>
      </c>
      <c r="T103" s="134">
        <f t="shared" si="86"/>
        <v>17855853</v>
      </c>
      <c r="U103" s="134">
        <f t="shared" si="57"/>
        <v>57.211330320486056</v>
      </c>
      <c r="V103" s="135">
        <f t="shared" si="59"/>
        <v>13354491</v>
      </c>
      <c r="W103" s="134">
        <f t="shared" si="55"/>
        <v>42.788669679513944</v>
      </c>
      <c r="X103" s="135">
        <f t="shared" si="60"/>
        <v>44564835</v>
      </c>
      <c r="Y103" s="134">
        <f t="shared" si="58"/>
        <v>71.394334839756965</v>
      </c>
      <c r="Z103" s="540"/>
      <c r="AA103" s="540"/>
      <c r="AB103" s="540"/>
      <c r="AC103" s="540"/>
      <c r="AD103" s="540"/>
      <c r="AE103" s="540"/>
      <c r="AF103" s="540"/>
      <c r="AG103" s="540"/>
      <c r="AH103" s="540"/>
      <c r="AI103" s="540"/>
      <c r="AJ103" s="540"/>
      <c r="AK103" s="540"/>
      <c r="AL103" s="540"/>
      <c r="AM103" s="540"/>
      <c r="AN103" s="540"/>
      <c r="AO103" s="540"/>
      <c r="AP103" s="540"/>
      <c r="AQ103" s="540"/>
      <c r="AR103" s="540"/>
      <c r="AS103" s="540"/>
      <c r="AT103" s="540"/>
      <c r="AU103" s="540"/>
      <c r="AV103" s="540"/>
      <c r="AW103" s="540"/>
      <c r="AX103" s="540"/>
      <c r="AY103" s="540"/>
      <c r="AZ103" s="540"/>
      <c r="BA103" s="540"/>
    </row>
    <row r="104" spans="1:53">
      <c r="A104" s="447"/>
      <c r="B104" s="479" t="s">
        <v>72</v>
      </c>
      <c r="C104" s="479" t="s">
        <v>73</v>
      </c>
      <c r="D104" s="480" t="s">
        <v>73</v>
      </c>
      <c r="E104" s="480" t="s">
        <v>68</v>
      </c>
      <c r="F104" s="480" t="s">
        <v>149</v>
      </c>
      <c r="G104" s="15" t="s">
        <v>150</v>
      </c>
      <c r="H104" s="15"/>
      <c r="I104" s="14">
        <v>8400000</v>
      </c>
      <c r="J104" s="14">
        <v>2100000</v>
      </c>
      <c r="K104" s="14">
        <v>2100000</v>
      </c>
      <c r="L104" s="14">
        <v>2100000</v>
      </c>
      <c r="M104" s="138">
        <v>2100000</v>
      </c>
      <c r="N104" s="20">
        <f>J104+K104</f>
        <v>4200000</v>
      </c>
      <c r="O104" s="136">
        <f t="shared" si="56"/>
        <v>50</v>
      </c>
      <c r="P104" s="20">
        <f>113500+113500</f>
        <v>227000</v>
      </c>
      <c r="Q104" s="472">
        <f>113500+113500+113500</f>
        <v>340500</v>
      </c>
      <c r="R104" s="20"/>
      <c r="S104" s="20"/>
      <c r="T104" s="472">
        <f>P104+Q104</f>
        <v>567500</v>
      </c>
      <c r="U104" s="472">
        <f t="shared" si="57"/>
        <v>13.511904761904761</v>
      </c>
      <c r="V104" s="472">
        <f t="shared" si="59"/>
        <v>3632500</v>
      </c>
      <c r="W104" s="472">
        <f t="shared" si="55"/>
        <v>86.488095238095241</v>
      </c>
      <c r="X104" s="472">
        <f t="shared" si="60"/>
        <v>7832500</v>
      </c>
      <c r="Y104" s="472">
        <f t="shared" si="58"/>
        <v>93.24404761904762</v>
      </c>
    </row>
    <row r="105" spans="1:53">
      <c r="A105" s="447"/>
      <c r="B105" s="475" t="s">
        <v>72</v>
      </c>
      <c r="C105" s="475" t="s">
        <v>73</v>
      </c>
      <c r="D105" s="475" t="s">
        <v>73</v>
      </c>
      <c r="E105" s="475" t="s">
        <v>68</v>
      </c>
      <c r="F105" s="475" t="s">
        <v>151</v>
      </c>
      <c r="G105" s="15" t="s">
        <v>152</v>
      </c>
      <c r="H105" s="15"/>
      <c r="I105" s="13">
        <v>6004800</v>
      </c>
      <c r="J105" s="13">
        <v>1501200</v>
      </c>
      <c r="K105" s="13">
        <v>1501200</v>
      </c>
      <c r="L105" s="13">
        <v>1501200</v>
      </c>
      <c r="M105" s="17">
        <v>1501200</v>
      </c>
      <c r="N105" s="20">
        <f t="shared" ref="N105:N106" si="87">J105+K105</f>
        <v>3002400</v>
      </c>
      <c r="O105" s="136">
        <f t="shared" si="56"/>
        <v>50</v>
      </c>
      <c r="P105" s="20">
        <f>1042000</f>
        <v>1042000</v>
      </c>
      <c r="Q105" s="472">
        <f>1546200</f>
        <v>1546200</v>
      </c>
      <c r="R105" s="20"/>
      <c r="S105" s="20"/>
      <c r="T105" s="472">
        <f t="shared" ref="T105:T106" si="88">P105+Q105</f>
        <v>2588200</v>
      </c>
      <c r="U105" s="472">
        <f t="shared" si="57"/>
        <v>86.204369837463361</v>
      </c>
      <c r="V105" s="472">
        <f t="shared" si="59"/>
        <v>414200</v>
      </c>
      <c r="W105" s="472">
        <f t="shared" si="55"/>
        <v>13.795630162536638</v>
      </c>
      <c r="X105" s="472">
        <f t="shared" si="60"/>
        <v>3416600</v>
      </c>
      <c r="Y105" s="472">
        <f t="shared" si="58"/>
        <v>56.89781508126832</v>
      </c>
    </row>
    <row r="106" spans="1:53">
      <c r="A106" s="447"/>
      <c r="B106" s="475" t="s">
        <v>72</v>
      </c>
      <c r="C106" s="475" t="s">
        <v>73</v>
      </c>
      <c r="D106" s="475" t="s">
        <v>73</v>
      </c>
      <c r="E106" s="475" t="s">
        <v>68</v>
      </c>
      <c r="F106" s="475" t="s">
        <v>153</v>
      </c>
      <c r="G106" s="12" t="s">
        <v>154</v>
      </c>
      <c r="H106" s="12"/>
      <c r="I106" s="13">
        <v>48015888</v>
      </c>
      <c r="J106" s="13">
        <v>12003972</v>
      </c>
      <c r="K106" s="13">
        <v>12003972</v>
      </c>
      <c r="L106" s="13">
        <v>12003972</v>
      </c>
      <c r="M106" s="17">
        <v>12003972</v>
      </c>
      <c r="N106" s="20">
        <f t="shared" si="87"/>
        <v>24007944</v>
      </c>
      <c r="O106" s="136">
        <f t="shared" si="56"/>
        <v>50</v>
      </c>
      <c r="P106" s="20">
        <f>3758461+3119438</f>
        <v>6877899</v>
      </c>
      <c r="Q106" s="472">
        <f>2611279+2931290+2279685</f>
        <v>7822254</v>
      </c>
      <c r="R106" s="20"/>
      <c r="S106" s="20"/>
      <c r="T106" s="472">
        <f t="shared" si="88"/>
        <v>14700153</v>
      </c>
      <c r="U106" s="472">
        <f t="shared" si="57"/>
        <v>61.230370247448093</v>
      </c>
      <c r="V106" s="472">
        <f t="shared" si="59"/>
        <v>9307791</v>
      </c>
      <c r="W106" s="472">
        <f t="shared" si="55"/>
        <v>38.769629752551907</v>
      </c>
      <c r="X106" s="472">
        <f t="shared" si="60"/>
        <v>33315735</v>
      </c>
      <c r="Y106" s="472">
        <f t="shared" si="58"/>
        <v>69.384814876275954</v>
      </c>
    </row>
    <row r="107" spans="1:53" s="484" customFormat="1">
      <c r="A107" s="481">
        <v>21</v>
      </c>
      <c r="B107" s="482">
        <v>1</v>
      </c>
      <c r="C107" s="482" t="s">
        <v>66</v>
      </c>
      <c r="D107" s="482" t="s">
        <v>68</v>
      </c>
      <c r="E107" s="482" t="s">
        <v>141</v>
      </c>
      <c r="F107" s="482" t="s">
        <v>80</v>
      </c>
      <c r="G107" s="143" t="s">
        <v>155</v>
      </c>
      <c r="H107" s="143"/>
      <c r="I107" s="144">
        <f>SUM(I108:I109)</f>
        <v>19800000</v>
      </c>
      <c r="J107" s="144">
        <f t="shared" ref="J107:N107" si="89">SUM(J108:J109)</f>
        <v>4950000</v>
      </c>
      <c r="K107" s="144">
        <f t="shared" si="89"/>
        <v>4950000</v>
      </c>
      <c r="L107" s="144">
        <f t="shared" si="89"/>
        <v>4950000</v>
      </c>
      <c r="M107" s="144">
        <f t="shared" si="89"/>
        <v>4950000</v>
      </c>
      <c r="N107" s="144">
        <f t="shared" si="89"/>
        <v>9900000</v>
      </c>
      <c r="O107" s="133">
        <f t="shared" si="56"/>
        <v>50</v>
      </c>
      <c r="P107" s="483">
        <f>SUM(P108:P109)</f>
        <v>2500000</v>
      </c>
      <c r="Q107" s="134">
        <f t="shared" ref="Q107:T107" si="90">SUM(Q108:Q109)</f>
        <v>5350000</v>
      </c>
      <c r="R107" s="134">
        <f t="shared" si="90"/>
        <v>0</v>
      </c>
      <c r="S107" s="134">
        <f t="shared" si="90"/>
        <v>0</v>
      </c>
      <c r="T107" s="134">
        <f t="shared" si="90"/>
        <v>7850000</v>
      </c>
      <c r="U107" s="134">
        <f t="shared" si="57"/>
        <v>79.292929292929287</v>
      </c>
      <c r="V107" s="135">
        <f t="shared" si="59"/>
        <v>2050000</v>
      </c>
      <c r="W107" s="134">
        <f t="shared" si="55"/>
        <v>20.707070707070706</v>
      </c>
      <c r="X107" s="135">
        <f t="shared" si="60"/>
        <v>11950000</v>
      </c>
      <c r="Y107" s="134">
        <f t="shared" si="58"/>
        <v>60.353535353535349</v>
      </c>
      <c r="Z107" s="540"/>
      <c r="AA107" s="540"/>
      <c r="AB107" s="540"/>
      <c r="AC107" s="540"/>
      <c r="AD107" s="540"/>
      <c r="AE107" s="540"/>
      <c r="AF107" s="540"/>
      <c r="AG107" s="540"/>
      <c r="AH107" s="540"/>
      <c r="AI107" s="540"/>
      <c r="AJ107" s="540"/>
      <c r="AK107" s="540"/>
      <c r="AL107" s="540"/>
      <c r="AM107" s="540"/>
      <c r="AN107" s="540"/>
      <c r="AO107" s="540"/>
      <c r="AP107" s="540"/>
      <c r="AQ107" s="540"/>
      <c r="AR107" s="540"/>
      <c r="AS107" s="540"/>
      <c r="AT107" s="540"/>
      <c r="AU107" s="540"/>
      <c r="AV107" s="540"/>
      <c r="AW107" s="540"/>
      <c r="AX107" s="540"/>
      <c r="AY107" s="540"/>
      <c r="AZ107" s="540"/>
      <c r="BA107" s="540"/>
    </row>
    <row r="108" spans="1:53" ht="24">
      <c r="A108" s="447"/>
      <c r="B108" s="475" t="s">
        <v>72</v>
      </c>
      <c r="C108" s="475" t="s">
        <v>68</v>
      </c>
      <c r="D108" s="478" t="s">
        <v>93</v>
      </c>
      <c r="E108" s="475" t="s">
        <v>85</v>
      </c>
      <c r="F108" s="478" t="s">
        <v>116</v>
      </c>
      <c r="G108" s="12" t="s">
        <v>156</v>
      </c>
      <c r="H108" s="12"/>
      <c r="I108" s="13">
        <v>4800000</v>
      </c>
      <c r="J108" s="13">
        <v>1200000</v>
      </c>
      <c r="K108" s="13">
        <v>1200000</v>
      </c>
      <c r="L108" s="13">
        <v>1200000</v>
      </c>
      <c r="M108" s="17">
        <v>1200000</v>
      </c>
      <c r="N108" s="20">
        <f>J108+K108</f>
        <v>2400000</v>
      </c>
      <c r="O108" s="136">
        <f t="shared" si="56"/>
        <v>50</v>
      </c>
      <c r="P108" s="20"/>
      <c r="Q108" s="472">
        <f>800000+400000+400000</f>
        <v>1600000</v>
      </c>
      <c r="R108" s="20"/>
      <c r="S108" s="20"/>
      <c r="T108" s="472">
        <f>P108+Q108</f>
        <v>1600000</v>
      </c>
      <c r="U108" s="472">
        <f t="shared" si="57"/>
        <v>66.666666666666657</v>
      </c>
      <c r="V108" s="472">
        <f t="shared" si="59"/>
        <v>800000</v>
      </c>
      <c r="W108" s="472">
        <f t="shared" si="55"/>
        <v>33.333333333333329</v>
      </c>
      <c r="X108" s="472">
        <f t="shared" si="60"/>
        <v>3200000</v>
      </c>
      <c r="Y108" s="472">
        <f t="shared" si="58"/>
        <v>66.666666666666657</v>
      </c>
    </row>
    <row r="109" spans="1:53">
      <c r="A109" s="447"/>
      <c r="B109" s="475" t="s">
        <v>72</v>
      </c>
      <c r="C109" s="475" t="s">
        <v>73</v>
      </c>
      <c r="D109" s="478" t="s">
        <v>73</v>
      </c>
      <c r="E109" s="478" t="s">
        <v>68</v>
      </c>
      <c r="F109" s="478" t="s">
        <v>106</v>
      </c>
      <c r="G109" s="12" t="s">
        <v>107</v>
      </c>
      <c r="H109" s="12"/>
      <c r="I109" s="13">
        <v>15000000</v>
      </c>
      <c r="J109" s="13">
        <v>3750000</v>
      </c>
      <c r="K109" s="13">
        <v>3750000</v>
      </c>
      <c r="L109" s="13">
        <v>3750000</v>
      </c>
      <c r="M109" s="17">
        <v>3750000</v>
      </c>
      <c r="N109" s="20">
        <f>J109+K109</f>
        <v>7500000</v>
      </c>
      <c r="O109" s="136">
        <f t="shared" si="56"/>
        <v>50</v>
      </c>
      <c r="P109" s="20">
        <f>1250000+1250000</f>
        <v>2500000</v>
      </c>
      <c r="Q109" s="472">
        <f>1250000+1250000+1250000</f>
        <v>3750000</v>
      </c>
      <c r="R109" s="20"/>
      <c r="S109" s="20"/>
      <c r="T109" s="472">
        <f>P109+Q109</f>
        <v>6250000</v>
      </c>
      <c r="U109" s="472">
        <f t="shared" si="57"/>
        <v>83.333333333333343</v>
      </c>
      <c r="V109" s="472">
        <f t="shared" si="59"/>
        <v>1250000</v>
      </c>
      <c r="W109" s="472">
        <f t="shared" si="55"/>
        <v>16.666666666666664</v>
      </c>
      <c r="X109" s="472">
        <f t="shared" si="60"/>
        <v>8750000</v>
      </c>
      <c r="Y109" s="472">
        <f t="shared" si="58"/>
        <v>58.333333333333336</v>
      </c>
    </row>
    <row r="110" spans="1:53" s="226" customFormat="1" ht="24">
      <c r="A110" s="447"/>
      <c r="B110" s="489">
        <v>1</v>
      </c>
      <c r="C110" s="489" t="s">
        <v>66</v>
      </c>
      <c r="D110" s="489" t="s">
        <v>68</v>
      </c>
      <c r="E110" s="490" t="s">
        <v>157</v>
      </c>
      <c r="F110" s="490"/>
      <c r="G110" s="493" t="s">
        <v>158</v>
      </c>
      <c r="H110" s="493"/>
      <c r="I110" s="492">
        <f>I111+I114+I119</f>
        <v>122840000</v>
      </c>
      <c r="J110" s="492">
        <f t="shared" ref="J110:N110" si="91">J111+J114+J119</f>
        <v>34330000</v>
      </c>
      <c r="K110" s="492">
        <f t="shared" si="91"/>
        <v>32260000</v>
      </c>
      <c r="L110" s="492">
        <f t="shared" si="91"/>
        <v>31790000</v>
      </c>
      <c r="M110" s="492">
        <f t="shared" si="91"/>
        <v>24460000</v>
      </c>
      <c r="N110" s="492">
        <f t="shared" si="91"/>
        <v>66590000</v>
      </c>
      <c r="O110" s="465">
        <f t="shared" si="56"/>
        <v>54.208726799088247</v>
      </c>
      <c r="P110" s="32">
        <f>P111+P114+P119</f>
        <v>27880000</v>
      </c>
      <c r="Q110" s="466">
        <f t="shared" ref="Q110:T110" si="92">Q111+Q114+Q119</f>
        <v>24983000</v>
      </c>
      <c r="R110" s="32">
        <f t="shared" si="92"/>
        <v>0</v>
      </c>
      <c r="S110" s="32">
        <f t="shared" si="92"/>
        <v>0</v>
      </c>
      <c r="T110" s="32">
        <f t="shared" si="92"/>
        <v>52863000</v>
      </c>
      <c r="U110" s="466">
        <f t="shared" si="57"/>
        <v>79.385793662712118</v>
      </c>
      <c r="V110" s="472">
        <f t="shared" si="59"/>
        <v>13727000</v>
      </c>
      <c r="W110" s="472">
        <f t="shared" si="55"/>
        <v>20.614206337287879</v>
      </c>
      <c r="X110" s="472">
        <f t="shared" si="60"/>
        <v>69977000</v>
      </c>
      <c r="Y110" s="472">
        <f t="shared" si="58"/>
        <v>56.965971996092478</v>
      </c>
      <c r="Z110" s="533"/>
      <c r="AA110" s="533"/>
      <c r="AB110" s="533"/>
      <c r="AC110" s="533"/>
      <c r="AD110" s="533"/>
      <c r="AE110" s="533"/>
      <c r="AF110" s="533"/>
      <c r="AG110" s="533"/>
      <c r="AH110" s="533"/>
      <c r="AI110" s="533"/>
      <c r="AJ110" s="533"/>
      <c r="AK110" s="533"/>
      <c r="AL110" s="533"/>
      <c r="AM110" s="533"/>
      <c r="AN110" s="533"/>
      <c r="AO110" s="533"/>
      <c r="AP110" s="533"/>
      <c r="AQ110" s="533"/>
      <c r="AR110" s="533"/>
      <c r="AS110" s="533"/>
      <c r="AT110" s="533"/>
      <c r="AU110" s="533"/>
      <c r="AV110" s="533"/>
      <c r="AW110" s="533"/>
      <c r="AX110" s="533"/>
      <c r="AY110" s="533"/>
      <c r="AZ110" s="533"/>
      <c r="BA110" s="533"/>
    </row>
    <row r="111" spans="1:53" s="484" customFormat="1" ht="36">
      <c r="A111" s="481">
        <v>22</v>
      </c>
      <c r="B111" s="482">
        <v>1</v>
      </c>
      <c r="C111" s="482" t="s">
        <v>66</v>
      </c>
      <c r="D111" s="482" t="s">
        <v>68</v>
      </c>
      <c r="E111" s="482" t="s">
        <v>157</v>
      </c>
      <c r="F111" s="482" t="s">
        <v>73</v>
      </c>
      <c r="G111" s="143" t="s">
        <v>159</v>
      </c>
      <c r="H111" s="143"/>
      <c r="I111" s="144">
        <f>SUM(I112:I113)</f>
        <v>93300000</v>
      </c>
      <c r="J111" s="144">
        <f t="shared" ref="J111:N111" si="93">SUM(J112:J113)</f>
        <v>28600000</v>
      </c>
      <c r="K111" s="144">
        <f t="shared" si="93"/>
        <v>23600000</v>
      </c>
      <c r="L111" s="144">
        <f t="shared" si="93"/>
        <v>23600000</v>
      </c>
      <c r="M111" s="144">
        <f t="shared" si="93"/>
        <v>17500000</v>
      </c>
      <c r="N111" s="144">
        <f t="shared" si="93"/>
        <v>52200000</v>
      </c>
      <c r="O111" s="133">
        <f t="shared" si="56"/>
        <v>55.948553054662376</v>
      </c>
      <c r="P111" s="483">
        <f>SUM(P112:P113)</f>
        <v>27880000</v>
      </c>
      <c r="Q111" s="134">
        <f t="shared" ref="Q111:T111" si="94">SUM(Q112:Q113)</f>
        <v>22075000</v>
      </c>
      <c r="R111" s="134">
        <f t="shared" si="94"/>
        <v>0</v>
      </c>
      <c r="S111" s="134">
        <f t="shared" si="94"/>
        <v>0</v>
      </c>
      <c r="T111" s="134">
        <f t="shared" si="94"/>
        <v>49955000</v>
      </c>
      <c r="U111" s="134">
        <f t="shared" si="57"/>
        <v>95.699233716475092</v>
      </c>
      <c r="V111" s="135">
        <f t="shared" si="59"/>
        <v>2245000</v>
      </c>
      <c r="W111" s="134">
        <f t="shared" si="55"/>
        <v>4.3007662835249043</v>
      </c>
      <c r="X111" s="135">
        <f t="shared" si="60"/>
        <v>43345000</v>
      </c>
      <c r="Y111" s="134">
        <f t="shared" si="58"/>
        <v>46.457663451232584</v>
      </c>
      <c r="Z111" s="540"/>
      <c r="AA111" s="540"/>
      <c r="AB111" s="540"/>
      <c r="AC111" s="540"/>
      <c r="AD111" s="540"/>
      <c r="AE111" s="540"/>
      <c r="AF111" s="540"/>
      <c r="AG111" s="540"/>
      <c r="AH111" s="540"/>
      <c r="AI111" s="540"/>
      <c r="AJ111" s="540"/>
      <c r="AK111" s="540"/>
      <c r="AL111" s="540"/>
      <c r="AM111" s="540"/>
      <c r="AN111" s="540"/>
      <c r="AO111" s="540"/>
      <c r="AP111" s="540"/>
      <c r="AQ111" s="540"/>
      <c r="AR111" s="540"/>
      <c r="AS111" s="540"/>
      <c r="AT111" s="540"/>
      <c r="AU111" s="540"/>
      <c r="AV111" s="540"/>
      <c r="AW111" s="540"/>
      <c r="AX111" s="540"/>
      <c r="AY111" s="540"/>
      <c r="AZ111" s="540"/>
      <c r="BA111" s="540"/>
    </row>
    <row r="112" spans="1:53" ht="24">
      <c r="A112" s="485"/>
      <c r="B112" s="475" t="s">
        <v>72</v>
      </c>
      <c r="C112" s="475" t="s">
        <v>73</v>
      </c>
      <c r="D112" s="475" t="s">
        <v>93</v>
      </c>
      <c r="E112" s="478" t="s">
        <v>73</v>
      </c>
      <c r="F112" s="475" t="s">
        <v>160</v>
      </c>
      <c r="G112" s="12" t="s">
        <v>161</v>
      </c>
      <c r="H112" s="12"/>
      <c r="I112" s="13">
        <v>14400000</v>
      </c>
      <c r="J112" s="13">
        <v>3600000</v>
      </c>
      <c r="K112" s="13">
        <v>3600000</v>
      </c>
      <c r="L112" s="13">
        <v>3600000</v>
      </c>
      <c r="M112" s="17">
        <v>3600000</v>
      </c>
      <c r="N112" s="20">
        <f>J112+K112</f>
        <v>7200000</v>
      </c>
      <c r="O112" s="136">
        <f t="shared" si="56"/>
        <v>50</v>
      </c>
      <c r="P112" s="20">
        <f>870000+1980000+530000</f>
        <v>3380000</v>
      </c>
      <c r="Q112" s="472">
        <f>1330000+1320000</f>
        <v>2650000</v>
      </c>
      <c r="R112" s="20"/>
      <c r="S112" s="20"/>
      <c r="T112" s="472">
        <f>P112+Q112</f>
        <v>6030000</v>
      </c>
      <c r="U112" s="472">
        <f t="shared" si="57"/>
        <v>83.75</v>
      </c>
      <c r="V112" s="472">
        <f t="shared" si="59"/>
        <v>1170000</v>
      </c>
      <c r="W112" s="472">
        <f t="shared" si="55"/>
        <v>16.25</v>
      </c>
      <c r="X112" s="472">
        <f t="shared" si="60"/>
        <v>8370000</v>
      </c>
      <c r="Y112" s="472">
        <f t="shared" si="58"/>
        <v>58.125000000000007</v>
      </c>
    </row>
    <row r="113" spans="1:53" ht="24">
      <c r="A113" s="485"/>
      <c r="B113" s="479" t="s">
        <v>72</v>
      </c>
      <c r="C113" s="479" t="s">
        <v>73</v>
      </c>
      <c r="D113" s="479" t="s">
        <v>93</v>
      </c>
      <c r="E113" s="480" t="s">
        <v>73</v>
      </c>
      <c r="F113" s="480" t="s">
        <v>162</v>
      </c>
      <c r="G113" s="15" t="s">
        <v>163</v>
      </c>
      <c r="H113" s="15"/>
      <c r="I113" s="14">
        <v>78900000</v>
      </c>
      <c r="J113" s="14">
        <v>25000000</v>
      </c>
      <c r="K113" s="14">
        <v>20000000</v>
      </c>
      <c r="L113" s="14">
        <v>20000000</v>
      </c>
      <c r="M113" s="138">
        <v>13900000</v>
      </c>
      <c r="N113" s="20">
        <f>J113+K113</f>
        <v>45000000</v>
      </c>
      <c r="O113" s="136">
        <f t="shared" si="56"/>
        <v>57.034220532319388</v>
      </c>
      <c r="P113" s="20">
        <f>20450000+3525000+525000</f>
        <v>24500000</v>
      </c>
      <c r="Q113" s="472">
        <f>5750000+4830000+2035000+6810000</f>
        <v>19425000</v>
      </c>
      <c r="R113" s="20"/>
      <c r="S113" s="20"/>
      <c r="T113" s="472">
        <f>P113+Q113</f>
        <v>43925000</v>
      </c>
      <c r="U113" s="472">
        <f t="shared" si="57"/>
        <v>97.611111111111114</v>
      </c>
      <c r="V113" s="472">
        <f t="shared" si="59"/>
        <v>1075000</v>
      </c>
      <c r="W113" s="472">
        <f t="shared" si="55"/>
        <v>2.3888888888888888</v>
      </c>
      <c r="X113" s="472">
        <f t="shared" si="60"/>
        <v>34975000</v>
      </c>
      <c r="Y113" s="472">
        <f t="shared" si="58"/>
        <v>44.328263624841576</v>
      </c>
    </row>
    <row r="114" spans="1:53" s="484" customFormat="1">
      <c r="A114" s="481">
        <v>23</v>
      </c>
      <c r="B114" s="482">
        <v>1</v>
      </c>
      <c r="C114" s="482" t="s">
        <v>66</v>
      </c>
      <c r="D114" s="482" t="s">
        <v>68</v>
      </c>
      <c r="E114" s="482" t="s">
        <v>157</v>
      </c>
      <c r="F114" s="482" t="s">
        <v>97</v>
      </c>
      <c r="G114" s="143" t="s">
        <v>164</v>
      </c>
      <c r="H114" s="143"/>
      <c r="I114" s="144">
        <f>SUM(I115:I118)</f>
        <v>19540000</v>
      </c>
      <c r="J114" s="144">
        <f t="shared" ref="J114:N114" si="95">SUM(J115:J118)</f>
        <v>3230000</v>
      </c>
      <c r="K114" s="144">
        <f t="shared" si="95"/>
        <v>6160000</v>
      </c>
      <c r="L114" s="144">
        <f t="shared" si="95"/>
        <v>5690000</v>
      </c>
      <c r="M114" s="144">
        <f t="shared" si="95"/>
        <v>4460000</v>
      </c>
      <c r="N114" s="144">
        <f t="shared" si="95"/>
        <v>9390000</v>
      </c>
      <c r="O114" s="133">
        <f t="shared" si="56"/>
        <v>48.055271238485162</v>
      </c>
      <c r="P114" s="483">
        <f>SUM(P115:P118)</f>
        <v>0</v>
      </c>
      <c r="Q114" s="134">
        <f t="shared" ref="Q114:T114" si="96">SUM(Q115:Q118)</f>
        <v>1890000</v>
      </c>
      <c r="R114" s="134">
        <f t="shared" si="96"/>
        <v>0</v>
      </c>
      <c r="S114" s="134">
        <f t="shared" si="96"/>
        <v>0</v>
      </c>
      <c r="T114" s="134">
        <f t="shared" si="96"/>
        <v>1890000</v>
      </c>
      <c r="U114" s="134">
        <f t="shared" si="57"/>
        <v>20.12779552715655</v>
      </c>
      <c r="V114" s="135">
        <f t="shared" si="59"/>
        <v>7500000</v>
      </c>
      <c r="W114" s="134">
        <f t="shared" si="55"/>
        <v>79.87220447284345</v>
      </c>
      <c r="X114" s="135">
        <f t="shared" si="60"/>
        <v>17650000</v>
      </c>
      <c r="Y114" s="134">
        <f t="shared" si="58"/>
        <v>90.32753326509723</v>
      </c>
      <c r="Z114" s="540"/>
      <c r="AA114" s="540"/>
      <c r="AB114" s="540"/>
      <c r="AC114" s="540"/>
      <c r="AD114" s="540"/>
      <c r="AE114" s="540"/>
      <c r="AF114" s="540"/>
      <c r="AG114" s="540"/>
      <c r="AH114" s="540"/>
      <c r="AI114" s="540"/>
      <c r="AJ114" s="540"/>
      <c r="AK114" s="540"/>
      <c r="AL114" s="540"/>
      <c r="AM114" s="540"/>
      <c r="AN114" s="540"/>
      <c r="AO114" s="540"/>
      <c r="AP114" s="540"/>
      <c r="AQ114" s="540"/>
      <c r="AR114" s="540"/>
      <c r="AS114" s="540"/>
      <c r="AT114" s="540"/>
      <c r="AU114" s="540"/>
      <c r="AV114" s="540"/>
      <c r="AW114" s="540"/>
      <c r="AX114" s="540"/>
      <c r="AY114" s="540"/>
      <c r="AZ114" s="540"/>
      <c r="BA114" s="540"/>
    </row>
    <row r="115" spans="1:53" ht="24">
      <c r="A115" s="447"/>
      <c r="B115" s="475" t="s">
        <v>72</v>
      </c>
      <c r="C115" s="475" t="s">
        <v>73</v>
      </c>
      <c r="D115" s="475" t="s">
        <v>93</v>
      </c>
      <c r="E115" s="475" t="s">
        <v>73</v>
      </c>
      <c r="F115" s="475" t="s">
        <v>165</v>
      </c>
      <c r="G115" s="12" t="s">
        <v>166</v>
      </c>
      <c r="H115" s="12"/>
      <c r="I115" s="13">
        <v>4500000</v>
      </c>
      <c r="J115" s="13">
        <v>1000000</v>
      </c>
      <c r="K115" s="13">
        <v>1250000</v>
      </c>
      <c r="L115" s="13">
        <v>1250000</v>
      </c>
      <c r="M115" s="17">
        <v>1000000</v>
      </c>
      <c r="N115" s="20">
        <f>J115+K115</f>
        <v>2250000</v>
      </c>
      <c r="O115" s="136">
        <f t="shared" si="56"/>
        <v>50</v>
      </c>
      <c r="P115" s="20"/>
      <c r="Q115" s="472"/>
      <c r="R115" s="20"/>
      <c r="S115" s="20"/>
      <c r="T115" s="32">
        <f>P115+Q115</f>
        <v>0</v>
      </c>
      <c r="U115" s="472">
        <f t="shared" si="57"/>
        <v>0</v>
      </c>
      <c r="V115" s="472">
        <f t="shared" si="59"/>
        <v>2250000</v>
      </c>
      <c r="W115" s="472">
        <f t="shared" si="55"/>
        <v>100</v>
      </c>
      <c r="X115" s="472">
        <f t="shared" si="60"/>
        <v>4500000</v>
      </c>
      <c r="Y115" s="472">
        <f t="shared" si="58"/>
        <v>100</v>
      </c>
    </row>
    <row r="116" spans="1:53" ht="36">
      <c r="A116" s="447"/>
      <c r="B116" s="475" t="s">
        <v>72</v>
      </c>
      <c r="C116" s="475" t="s">
        <v>73</v>
      </c>
      <c r="D116" s="475" t="s">
        <v>93</v>
      </c>
      <c r="E116" s="475" t="s">
        <v>73</v>
      </c>
      <c r="F116" s="475" t="s">
        <v>167</v>
      </c>
      <c r="G116" s="12" t="s">
        <v>168</v>
      </c>
      <c r="H116" s="12"/>
      <c r="I116" s="13">
        <v>1400000</v>
      </c>
      <c r="J116" s="13">
        <v>0</v>
      </c>
      <c r="K116" s="13">
        <v>700000</v>
      </c>
      <c r="L116" s="13">
        <v>700000</v>
      </c>
      <c r="M116" s="17">
        <v>0</v>
      </c>
      <c r="N116" s="20">
        <f t="shared" ref="N116:N118" si="97">J116+K116</f>
        <v>700000</v>
      </c>
      <c r="O116" s="136">
        <f t="shared" si="56"/>
        <v>50</v>
      </c>
      <c r="P116" s="20"/>
      <c r="Q116" s="472"/>
      <c r="R116" s="20"/>
      <c r="S116" s="20"/>
      <c r="T116" s="32">
        <f t="shared" ref="T116:T118" si="98">P116+Q116</f>
        <v>0</v>
      </c>
      <c r="U116" s="472">
        <f t="shared" si="57"/>
        <v>0</v>
      </c>
      <c r="V116" s="472">
        <f t="shared" si="59"/>
        <v>700000</v>
      </c>
      <c r="W116" s="472">
        <f t="shared" si="55"/>
        <v>100</v>
      </c>
      <c r="X116" s="472">
        <f t="shared" si="60"/>
        <v>1400000</v>
      </c>
      <c r="Y116" s="472">
        <f t="shared" si="58"/>
        <v>100</v>
      </c>
    </row>
    <row r="117" spans="1:53" ht="24">
      <c r="A117" s="447"/>
      <c r="B117" s="475" t="s">
        <v>72</v>
      </c>
      <c r="C117" s="475" t="s">
        <v>73</v>
      </c>
      <c r="D117" s="475" t="s">
        <v>93</v>
      </c>
      <c r="E117" s="475" t="s">
        <v>73</v>
      </c>
      <c r="F117" s="478" t="s">
        <v>169</v>
      </c>
      <c r="G117" s="12" t="s">
        <v>170</v>
      </c>
      <c r="H117" s="12"/>
      <c r="I117" s="13">
        <v>5800000</v>
      </c>
      <c r="J117" s="13">
        <v>1000000</v>
      </c>
      <c r="K117" s="13">
        <v>1750000</v>
      </c>
      <c r="L117" s="13">
        <v>1550000</v>
      </c>
      <c r="M117" s="17">
        <v>1500000</v>
      </c>
      <c r="N117" s="20">
        <f t="shared" si="97"/>
        <v>2750000</v>
      </c>
      <c r="O117" s="136">
        <f t="shared" si="56"/>
        <v>47.413793103448278</v>
      </c>
      <c r="P117" s="20"/>
      <c r="Q117" s="472"/>
      <c r="R117" s="20"/>
      <c r="S117" s="20"/>
      <c r="T117" s="32">
        <f t="shared" si="98"/>
        <v>0</v>
      </c>
      <c r="U117" s="472">
        <f t="shared" si="57"/>
        <v>0</v>
      </c>
      <c r="V117" s="472">
        <f t="shared" si="59"/>
        <v>2750000</v>
      </c>
      <c r="W117" s="472">
        <f t="shared" si="55"/>
        <v>100</v>
      </c>
      <c r="X117" s="472">
        <f t="shared" si="60"/>
        <v>5800000</v>
      </c>
      <c r="Y117" s="472">
        <f t="shared" si="58"/>
        <v>100</v>
      </c>
    </row>
    <row r="118" spans="1:53" ht="24">
      <c r="A118" s="447"/>
      <c r="B118" s="475" t="s">
        <v>72</v>
      </c>
      <c r="C118" s="475" t="s">
        <v>73</v>
      </c>
      <c r="D118" s="475" t="s">
        <v>93</v>
      </c>
      <c r="E118" s="475" t="s">
        <v>73</v>
      </c>
      <c r="F118" s="475" t="s">
        <v>171</v>
      </c>
      <c r="G118" s="12" t="s">
        <v>172</v>
      </c>
      <c r="H118" s="12"/>
      <c r="I118" s="13">
        <v>7840000</v>
      </c>
      <c r="J118" s="13">
        <v>1230000</v>
      </c>
      <c r="K118" s="13">
        <v>2460000</v>
      </c>
      <c r="L118" s="13">
        <v>2190000</v>
      </c>
      <c r="M118" s="17">
        <v>1960000</v>
      </c>
      <c r="N118" s="20">
        <f t="shared" si="97"/>
        <v>3690000</v>
      </c>
      <c r="O118" s="136">
        <f t="shared" si="56"/>
        <v>47.066326530612244</v>
      </c>
      <c r="P118" s="20"/>
      <c r="Q118" s="472">
        <f>1890000</f>
        <v>1890000</v>
      </c>
      <c r="R118" s="20"/>
      <c r="S118" s="20"/>
      <c r="T118" s="32">
        <f t="shared" si="98"/>
        <v>1890000</v>
      </c>
      <c r="U118" s="472">
        <f t="shared" si="57"/>
        <v>51.219512195121951</v>
      </c>
      <c r="V118" s="472">
        <f t="shared" si="59"/>
        <v>1800000</v>
      </c>
      <c r="W118" s="472">
        <f t="shared" si="55"/>
        <v>48.780487804878049</v>
      </c>
      <c r="X118" s="472">
        <f t="shared" si="60"/>
        <v>5950000</v>
      </c>
      <c r="Y118" s="472">
        <f t="shared" si="58"/>
        <v>75.892857142857139</v>
      </c>
    </row>
    <row r="119" spans="1:53" s="484" customFormat="1" ht="24">
      <c r="A119" s="481">
        <v>24</v>
      </c>
      <c r="B119" s="482">
        <v>1</v>
      </c>
      <c r="C119" s="482" t="s">
        <v>66</v>
      </c>
      <c r="D119" s="482" t="s">
        <v>68</v>
      </c>
      <c r="E119" s="482" t="s">
        <v>157</v>
      </c>
      <c r="F119" s="482" t="s">
        <v>134</v>
      </c>
      <c r="G119" s="143" t="s">
        <v>173</v>
      </c>
      <c r="H119" s="143"/>
      <c r="I119" s="144">
        <f>I120</f>
        <v>10000000</v>
      </c>
      <c r="J119" s="144">
        <f t="shared" ref="J119:N119" si="99">J120</f>
        <v>2500000</v>
      </c>
      <c r="K119" s="144">
        <f t="shared" si="99"/>
        <v>2500000</v>
      </c>
      <c r="L119" s="144">
        <f t="shared" si="99"/>
        <v>2500000</v>
      </c>
      <c r="M119" s="144">
        <f t="shared" si="99"/>
        <v>2500000</v>
      </c>
      <c r="N119" s="144">
        <f t="shared" si="99"/>
        <v>5000000</v>
      </c>
      <c r="O119" s="133">
        <f t="shared" si="56"/>
        <v>50</v>
      </c>
      <c r="P119" s="483">
        <f>SUM(P120)</f>
        <v>0</v>
      </c>
      <c r="Q119" s="134">
        <f t="shared" ref="Q119:T119" si="100">SUM(Q120)</f>
        <v>1018000</v>
      </c>
      <c r="R119" s="134">
        <f t="shared" si="100"/>
        <v>0</v>
      </c>
      <c r="S119" s="134">
        <f t="shared" si="100"/>
        <v>0</v>
      </c>
      <c r="T119" s="134">
        <f t="shared" si="100"/>
        <v>1018000</v>
      </c>
      <c r="U119" s="134">
        <f t="shared" si="57"/>
        <v>20.36</v>
      </c>
      <c r="V119" s="135">
        <f t="shared" si="59"/>
        <v>3982000</v>
      </c>
      <c r="W119" s="134">
        <f t="shared" si="55"/>
        <v>79.64</v>
      </c>
      <c r="X119" s="135">
        <f t="shared" si="60"/>
        <v>8982000</v>
      </c>
      <c r="Y119" s="134">
        <f t="shared" si="58"/>
        <v>89.82</v>
      </c>
      <c r="Z119" s="540"/>
      <c r="AA119" s="540"/>
      <c r="AB119" s="540"/>
      <c r="AC119" s="540"/>
      <c r="AD119" s="540"/>
      <c r="AE119" s="540"/>
      <c r="AF119" s="540"/>
      <c r="AG119" s="540"/>
      <c r="AH119" s="540"/>
      <c r="AI119" s="540"/>
      <c r="AJ119" s="540"/>
      <c r="AK119" s="540"/>
      <c r="AL119" s="540"/>
      <c r="AM119" s="540"/>
      <c r="AN119" s="540"/>
      <c r="AO119" s="540"/>
      <c r="AP119" s="540"/>
      <c r="AQ119" s="540"/>
      <c r="AR119" s="540"/>
      <c r="AS119" s="540"/>
      <c r="AT119" s="540"/>
      <c r="AU119" s="540"/>
      <c r="AV119" s="540"/>
      <c r="AW119" s="540"/>
      <c r="AX119" s="540"/>
      <c r="AY119" s="540"/>
      <c r="AZ119" s="540"/>
      <c r="BA119" s="540"/>
    </row>
    <row r="120" spans="1:53" ht="24">
      <c r="A120" s="447"/>
      <c r="B120" s="475" t="s">
        <v>72</v>
      </c>
      <c r="C120" s="475" t="s">
        <v>73</v>
      </c>
      <c r="D120" s="475" t="s">
        <v>93</v>
      </c>
      <c r="E120" s="475" t="s">
        <v>93</v>
      </c>
      <c r="F120" s="475" t="s">
        <v>81</v>
      </c>
      <c r="G120" s="12" t="s">
        <v>174</v>
      </c>
      <c r="H120" s="12"/>
      <c r="I120" s="13">
        <v>10000000</v>
      </c>
      <c r="J120" s="13">
        <v>2500000</v>
      </c>
      <c r="K120" s="13">
        <v>2500000</v>
      </c>
      <c r="L120" s="13">
        <v>2500000</v>
      </c>
      <c r="M120" s="17">
        <v>2500000</v>
      </c>
      <c r="N120" s="20">
        <f>J120+K120</f>
        <v>5000000</v>
      </c>
      <c r="O120" s="136">
        <f t="shared" si="56"/>
        <v>50</v>
      </c>
      <c r="P120" s="20"/>
      <c r="Q120" s="472">
        <f>1018000</f>
        <v>1018000</v>
      </c>
      <c r="R120" s="20"/>
      <c r="S120" s="20"/>
      <c r="T120" s="466">
        <f>P120+Q120</f>
        <v>1018000</v>
      </c>
      <c r="U120" s="472">
        <f t="shared" si="57"/>
        <v>20.36</v>
      </c>
      <c r="V120" s="472">
        <f t="shared" si="59"/>
        <v>3982000</v>
      </c>
      <c r="W120" s="472">
        <f t="shared" si="55"/>
        <v>79.64</v>
      </c>
      <c r="X120" s="472">
        <f t="shared" si="60"/>
        <v>8982000</v>
      </c>
      <c r="Y120" s="472">
        <f t="shared" si="58"/>
        <v>89.82</v>
      </c>
    </row>
    <row r="121" spans="1:53" ht="27" customHeight="1">
      <c r="A121" s="509"/>
      <c r="B121" s="510">
        <v>1</v>
      </c>
      <c r="C121" s="510" t="s">
        <v>66</v>
      </c>
      <c r="D121" s="510" t="s">
        <v>93</v>
      </c>
      <c r="E121" s="510"/>
      <c r="F121" s="510"/>
      <c r="G121" s="148" t="s">
        <v>175</v>
      </c>
      <c r="H121" s="148"/>
      <c r="I121" s="149">
        <f>I122+I145+I212+I248</f>
        <v>1560634532</v>
      </c>
      <c r="J121" s="149">
        <f t="shared" ref="J121:N121" si="101">J122+J145+J212+J248</f>
        <v>251855500</v>
      </c>
      <c r="K121" s="149">
        <f t="shared" si="101"/>
        <v>560767742</v>
      </c>
      <c r="L121" s="149">
        <f t="shared" si="101"/>
        <v>395892900</v>
      </c>
      <c r="M121" s="149">
        <f t="shared" si="101"/>
        <v>352118390</v>
      </c>
      <c r="N121" s="149">
        <f t="shared" si="101"/>
        <v>812623242</v>
      </c>
      <c r="O121" s="150">
        <f t="shared" si="56"/>
        <v>52.070053900358019</v>
      </c>
      <c r="P121" s="32">
        <f>P122+P145+P212+P248</f>
        <v>72000000</v>
      </c>
      <c r="Q121" s="129">
        <f t="shared" ref="Q121:T121" si="102">Q122+Q145+Q212+Q248</f>
        <v>199142090</v>
      </c>
      <c r="R121" s="129">
        <f t="shared" si="102"/>
        <v>0</v>
      </c>
      <c r="S121" s="129">
        <f t="shared" si="102"/>
        <v>0</v>
      </c>
      <c r="T121" s="129">
        <f t="shared" si="102"/>
        <v>271142090</v>
      </c>
      <c r="U121" s="129">
        <f t="shared" si="57"/>
        <v>33.366273075413709</v>
      </c>
      <c r="V121" s="11">
        <f t="shared" si="59"/>
        <v>541481152</v>
      </c>
      <c r="W121" s="11">
        <f t="shared" si="55"/>
        <v>66.633726924586284</v>
      </c>
      <c r="X121" s="11">
        <f t="shared" si="60"/>
        <v>1289492442</v>
      </c>
      <c r="Y121" s="11">
        <f t="shared" si="58"/>
        <v>82.626163625091436</v>
      </c>
    </row>
    <row r="122" spans="1:53" s="226" customFormat="1">
      <c r="A122" s="447"/>
      <c r="B122" s="489">
        <v>1</v>
      </c>
      <c r="C122" s="489" t="s">
        <v>66</v>
      </c>
      <c r="D122" s="489" t="s">
        <v>93</v>
      </c>
      <c r="E122" s="489" t="s">
        <v>70</v>
      </c>
      <c r="F122" s="490"/>
      <c r="G122" s="493" t="s">
        <v>176</v>
      </c>
      <c r="H122" s="493"/>
      <c r="I122" s="492">
        <f>I123+I135</f>
        <v>200201742</v>
      </c>
      <c r="J122" s="492">
        <f t="shared" ref="J122:N122" si="103">J123+J135</f>
        <v>7705000</v>
      </c>
      <c r="K122" s="492">
        <f t="shared" si="103"/>
        <v>192496742</v>
      </c>
      <c r="L122" s="492">
        <f t="shared" si="103"/>
        <v>0</v>
      </c>
      <c r="M122" s="492">
        <f t="shared" si="103"/>
        <v>0</v>
      </c>
      <c r="N122" s="492">
        <f t="shared" si="103"/>
        <v>200201742</v>
      </c>
      <c r="O122" s="465">
        <f t="shared" si="56"/>
        <v>100</v>
      </c>
      <c r="P122" s="32">
        <f>P123+P135</f>
        <v>0</v>
      </c>
      <c r="Q122" s="466">
        <f t="shared" ref="Q122:T122" si="104">Q123+Q135</f>
        <v>4060000</v>
      </c>
      <c r="R122" s="32">
        <f t="shared" si="104"/>
        <v>0</v>
      </c>
      <c r="S122" s="32">
        <f t="shared" si="104"/>
        <v>0</v>
      </c>
      <c r="T122" s="32">
        <f t="shared" si="104"/>
        <v>4060000</v>
      </c>
      <c r="U122" s="466">
        <f t="shared" si="57"/>
        <v>2.0279543821351962</v>
      </c>
      <c r="V122" s="472">
        <f t="shared" si="59"/>
        <v>196141742</v>
      </c>
      <c r="W122" s="472">
        <f t="shared" si="55"/>
        <v>97.972045617864794</v>
      </c>
      <c r="X122" s="472">
        <f t="shared" si="60"/>
        <v>196141742</v>
      </c>
      <c r="Y122" s="472">
        <f t="shared" si="58"/>
        <v>97.972045617864794</v>
      </c>
      <c r="Z122" s="533"/>
      <c r="AA122" s="533"/>
      <c r="AB122" s="533"/>
      <c r="AC122" s="533"/>
      <c r="AD122" s="533"/>
      <c r="AE122" s="533"/>
      <c r="AF122" s="533"/>
      <c r="AG122" s="533"/>
      <c r="AH122" s="533"/>
      <c r="AI122" s="533"/>
      <c r="AJ122" s="533"/>
      <c r="AK122" s="533"/>
      <c r="AL122" s="533"/>
      <c r="AM122" s="533"/>
      <c r="AN122" s="533"/>
      <c r="AO122" s="533"/>
      <c r="AP122" s="533"/>
      <c r="AQ122" s="533"/>
      <c r="AR122" s="533"/>
      <c r="AS122" s="533"/>
      <c r="AT122" s="533"/>
      <c r="AU122" s="533"/>
      <c r="AV122" s="533"/>
      <c r="AW122" s="533"/>
      <c r="AX122" s="533"/>
      <c r="AY122" s="533"/>
      <c r="AZ122" s="533"/>
      <c r="BA122" s="533"/>
    </row>
    <row r="123" spans="1:53" s="484" customFormat="1">
      <c r="A123" s="481">
        <v>25</v>
      </c>
      <c r="B123" s="482">
        <v>1</v>
      </c>
      <c r="C123" s="482" t="s">
        <v>66</v>
      </c>
      <c r="D123" s="486" t="s">
        <v>93</v>
      </c>
      <c r="E123" s="486" t="s">
        <v>70</v>
      </c>
      <c r="F123" s="486" t="s">
        <v>68</v>
      </c>
      <c r="G123" s="143" t="s">
        <v>321</v>
      </c>
      <c r="H123" s="143"/>
      <c r="I123" s="144">
        <f>SUM(I124:I134)</f>
        <v>174995642</v>
      </c>
      <c r="J123" s="144">
        <f t="shared" ref="J123:N123" si="105">SUM(J124:J134)</f>
        <v>7705000</v>
      </c>
      <c r="K123" s="144">
        <f t="shared" si="105"/>
        <v>167290642</v>
      </c>
      <c r="L123" s="144">
        <f t="shared" si="105"/>
        <v>0</v>
      </c>
      <c r="M123" s="144">
        <f t="shared" si="105"/>
        <v>0</v>
      </c>
      <c r="N123" s="144">
        <f t="shared" si="105"/>
        <v>174995642</v>
      </c>
      <c r="O123" s="133">
        <f t="shared" si="56"/>
        <v>100</v>
      </c>
      <c r="P123" s="483">
        <f>SUM(P124:P134)</f>
        <v>0</v>
      </c>
      <c r="Q123" s="134">
        <f t="shared" ref="Q123:T123" si="106">SUM(Q124:Q134)</f>
        <v>4060000</v>
      </c>
      <c r="R123" s="134">
        <f t="shared" si="106"/>
        <v>0</v>
      </c>
      <c r="S123" s="134">
        <f t="shared" si="106"/>
        <v>0</v>
      </c>
      <c r="T123" s="134">
        <f t="shared" si="106"/>
        <v>4060000</v>
      </c>
      <c r="U123" s="134">
        <f t="shared" si="57"/>
        <v>2.3200577760673609</v>
      </c>
      <c r="V123" s="135">
        <f t="shared" si="59"/>
        <v>170935642</v>
      </c>
      <c r="W123" s="134">
        <f t="shared" si="55"/>
        <v>97.679942223932642</v>
      </c>
      <c r="X123" s="135">
        <f t="shared" si="60"/>
        <v>170935642</v>
      </c>
      <c r="Y123" s="134">
        <f t="shared" si="58"/>
        <v>97.679942223932642</v>
      </c>
      <c r="Z123" s="540"/>
      <c r="AA123" s="540"/>
      <c r="AB123" s="540"/>
      <c r="AC123" s="540"/>
      <c r="AD123" s="540"/>
      <c r="AE123" s="540"/>
      <c r="AF123" s="540"/>
      <c r="AG123" s="540"/>
      <c r="AH123" s="540"/>
      <c r="AI123" s="540"/>
      <c r="AJ123" s="540"/>
      <c r="AK123" s="540"/>
      <c r="AL123" s="540"/>
      <c r="AM123" s="540"/>
      <c r="AN123" s="540"/>
      <c r="AO123" s="540"/>
      <c r="AP123" s="540"/>
      <c r="AQ123" s="540"/>
      <c r="AR123" s="540"/>
      <c r="AS123" s="540"/>
      <c r="AT123" s="540"/>
      <c r="AU123" s="540"/>
      <c r="AV123" s="540"/>
      <c r="AW123" s="540"/>
      <c r="AX123" s="540"/>
      <c r="AY123" s="540"/>
      <c r="AZ123" s="540"/>
      <c r="BA123" s="540"/>
    </row>
    <row r="124" spans="1:53" ht="24">
      <c r="A124" s="447"/>
      <c r="B124" s="475" t="s">
        <v>72</v>
      </c>
      <c r="C124" s="475" t="s">
        <v>73</v>
      </c>
      <c r="D124" s="475" t="s">
        <v>68</v>
      </c>
      <c r="E124" s="475" t="s">
        <v>68</v>
      </c>
      <c r="F124" s="478" t="s">
        <v>74</v>
      </c>
      <c r="G124" s="12" t="s">
        <v>75</v>
      </c>
      <c r="H124" s="12"/>
      <c r="I124" s="13">
        <v>1460642</v>
      </c>
      <c r="J124" s="13">
        <v>450000</v>
      </c>
      <c r="K124" s="13">
        <v>1010642</v>
      </c>
      <c r="L124" s="13">
        <v>0</v>
      </c>
      <c r="M124" s="17">
        <v>0</v>
      </c>
      <c r="N124" s="20">
        <f>J124+K124</f>
        <v>1460642</v>
      </c>
      <c r="O124" s="136">
        <f t="shared" si="56"/>
        <v>100</v>
      </c>
      <c r="P124" s="20"/>
      <c r="Q124" s="472"/>
      <c r="R124" s="20"/>
      <c r="S124" s="20"/>
      <c r="T124" s="466">
        <f>P124+Q124</f>
        <v>0</v>
      </c>
      <c r="U124" s="472">
        <f t="shared" si="57"/>
        <v>0</v>
      </c>
      <c r="V124" s="472">
        <f t="shared" si="59"/>
        <v>1460642</v>
      </c>
      <c r="W124" s="472">
        <f t="shared" si="55"/>
        <v>100</v>
      </c>
      <c r="X124" s="472">
        <f t="shared" si="60"/>
        <v>1460642</v>
      </c>
      <c r="Y124" s="472">
        <f t="shared" si="58"/>
        <v>100</v>
      </c>
    </row>
    <row r="125" spans="1:53" ht="24">
      <c r="A125" s="447"/>
      <c r="B125" s="475" t="s">
        <v>72</v>
      </c>
      <c r="C125" s="475" t="s">
        <v>73</v>
      </c>
      <c r="D125" s="475" t="s">
        <v>68</v>
      </c>
      <c r="E125" s="475" t="s">
        <v>68</v>
      </c>
      <c r="F125" s="475" t="s">
        <v>308</v>
      </c>
      <c r="G125" s="12" t="s">
        <v>309</v>
      </c>
      <c r="H125" s="12"/>
      <c r="I125" s="13">
        <v>835000</v>
      </c>
      <c r="J125" s="13">
        <v>835000</v>
      </c>
      <c r="K125" s="13">
        <v>0</v>
      </c>
      <c r="L125" s="13">
        <v>0</v>
      </c>
      <c r="M125" s="17">
        <v>0</v>
      </c>
      <c r="N125" s="20">
        <f t="shared" ref="N125:N134" si="107">J125+K125</f>
        <v>835000</v>
      </c>
      <c r="O125" s="136">
        <f t="shared" si="56"/>
        <v>100</v>
      </c>
      <c r="P125" s="20"/>
      <c r="Q125" s="472"/>
      <c r="R125" s="20"/>
      <c r="S125" s="20"/>
      <c r="T125" s="466">
        <f t="shared" ref="T125:T134" si="108">P125+Q125</f>
        <v>0</v>
      </c>
      <c r="U125" s="472">
        <f t="shared" si="57"/>
        <v>0</v>
      </c>
      <c r="V125" s="472">
        <f t="shared" si="59"/>
        <v>835000</v>
      </c>
      <c r="W125" s="472">
        <f t="shared" si="55"/>
        <v>100</v>
      </c>
      <c r="X125" s="472">
        <f t="shared" si="60"/>
        <v>835000</v>
      </c>
      <c r="Y125" s="472">
        <f t="shared" si="58"/>
        <v>100</v>
      </c>
    </row>
    <row r="126" spans="1:53">
      <c r="A126" s="447"/>
      <c r="B126" s="475" t="s">
        <v>72</v>
      </c>
      <c r="C126" s="475" t="s">
        <v>73</v>
      </c>
      <c r="D126" s="475" t="s">
        <v>68</v>
      </c>
      <c r="E126" s="475" t="s">
        <v>68</v>
      </c>
      <c r="F126" s="475" t="s">
        <v>76</v>
      </c>
      <c r="G126" s="12" t="s">
        <v>77</v>
      </c>
      <c r="H126" s="12"/>
      <c r="I126" s="13">
        <v>6500000</v>
      </c>
      <c r="J126" s="13">
        <v>0</v>
      </c>
      <c r="K126" s="13">
        <v>6500000</v>
      </c>
      <c r="L126" s="13">
        <v>0</v>
      </c>
      <c r="M126" s="17">
        <v>0</v>
      </c>
      <c r="N126" s="20">
        <f t="shared" si="107"/>
        <v>6500000</v>
      </c>
      <c r="O126" s="136">
        <f t="shared" si="56"/>
        <v>100</v>
      </c>
      <c r="P126" s="20"/>
      <c r="Q126" s="472"/>
      <c r="R126" s="20"/>
      <c r="S126" s="20"/>
      <c r="T126" s="466">
        <f t="shared" si="108"/>
        <v>0</v>
      </c>
      <c r="U126" s="472">
        <f t="shared" si="57"/>
        <v>0</v>
      </c>
      <c r="V126" s="472">
        <f t="shared" si="59"/>
        <v>6500000</v>
      </c>
      <c r="W126" s="472">
        <f t="shared" si="55"/>
        <v>100</v>
      </c>
      <c r="X126" s="472">
        <f t="shared" si="60"/>
        <v>6500000</v>
      </c>
      <c r="Y126" s="472">
        <f t="shared" si="58"/>
        <v>100</v>
      </c>
    </row>
    <row r="127" spans="1:53">
      <c r="A127" s="447"/>
      <c r="B127" s="475" t="s">
        <v>72</v>
      </c>
      <c r="C127" s="475" t="s">
        <v>73</v>
      </c>
      <c r="D127" s="475" t="s">
        <v>68</v>
      </c>
      <c r="E127" s="475" t="s">
        <v>68</v>
      </c>
      <c r="F127" s="478" t="s">
        <v>144</v>
      </c>
      <c r="G127" s="12" t="s">
        <v>145</v>
      </c>
      <c r="H127" s="12"/>
      <c r="I127" s="13">
        <v>200000</v>
      </c>
      <c r="J127" s="13">
        <v>0</v>
      </c>
      <c r="K127" s="13">
        <v>200000</v>
      </c>
      <c r="L127" s="13">
        <v>0</v>
      </c>
      <c r="M127" s="17">
        <v>0</v>
      </c>
      <c r="N127" s="20">
        <f t="shared" si="107"/>
        <v>200000</v>
      </c>
      <c r="O127" s="136">
        <f t="shared" si="56"/>
        <v>100</v>
      </c>
      <c r="P127" s="20"/>
      <c r="Q127" s="472"/>
      <c r="R127" s="20"/>
      <c r="S127" s="20"/>
      <c r="T127" s="466">
        <f t="shared" si="108"/>
        <v>0</v>
      </c>
      <c r="U127" s="472">
        <f t="shared" si="57"/>
        <v>0</v>
      </c>
      <c r="V127" s="472">
        <f t="shared" si="59"/>
        <v>200000</v>
      </c>
      <c r="W127" s="472">
        <f t="shared" si="55"/>
        <v>100</v>
      </c>
      <c r="X127" s="472">
        <f t="shared" si="60"/>
        <v>200000</v>
      </c>
      <c r="Y127" s="472">
        <f t="shared" si="58"/>
        <v>100</v>
      </c>
    </row>
    <row r="128" spans="1:53" ht="24">
      <c r="A128" s="447"/>
      <c r="B128" s="475" t="s">
        <v>72</v>
      </c>
      <c r="C128" s="475" t="s">
        <v>73</v>
      </c>
      <c r="D128" s="475" t="s">
        <v>68</v>
      </c>
      <c r="E128" s="475" t="s">
        <v>68</v>
      </c>
      <c r="F128" s="475" t="s">
        <v>190</v>
      </c>
      <c r="G128" s="12" t="s">
        <v>310</v>
      </c>
      <c r="H128" s="12"/>
      <c r="I128" s="13">
        <v>620000</v>
      </c>
      <c r="J128" s="13">
        <v>620000</v>
      </c>
      <c r="K128" s="13">
        <v>0</v>
      </c>
      <c r="L128" s="13">
        <v>0</v>
      </c>
      <c r="M128" s="17">
        <v>0</v>
      </c>
      <c r="N128" s="20">
        <f t="shared" si="107"/>
        <v>620000</v>
      </c>
      <c r="O128" s="136">
        <f t="shared" si="56"/>
        <v>100</v>
      </c>
      <c r="P128" s="20"/>
      <c r="Q128" s="472"/>
      <c r="R128" s="20"/>
      <c r="S128" s="20"/>
      <c r="T128" s="466">
        <f t="shared" si="108"/>
        <v>0</v>
      </c>
      <c r="U128" s="472">
        <f t="shared" si="57"/>
        <v>0</v>
      </c>
      <c r="V128" s="472">
        <f t="shared" si="59"/>
        <v>620000</v>
      </c>
      <c r="W128" s="472">
        <f t="shared" si="55"/>
        <v>100</v>
      </c>
      <c r="X128" s="472">
        <f t="shared" si="60"/>
        <v>620000</v>
      </c>
      <c r="Y128" s="472">
        <f t="shared" si="58"/>
        <v>100</v>
      </c>
    </row>
    <row r="129" spans="1:53">
      <c r="A129" s="447"/>
      <c r="B129" s="475" t="s">
        <v>72</v>
      </c>
      <c r="C129" s="475" t="s">
        <v>73</v>
      </c>
      <c r="D129" s="475" t="s">
        <v>68</v>
      </c>
      <c r="E129" s="475" t="s">
        <v>68</v>
      </c>
      <c r="F129" s="475" t="s">
        <v>78</v>
      </c>
      <c r="G129" s="12" t="s">
        <v>79</v>
      </c>
      <c r="H129" s="12"/>
      <c r="I129" s="13">
        <v>20250000</v>
      </c>
      <c r="J129" s="13">
        <v>0</v>
      </c>
      <c r="K129" s="13">
        <v>20250000</v>
      </c>
      <c r="L129" s="13">
        <v>0</v>
      </c>
      <c r="M129" s="17">
        <v>0</v>
      </c>
      <c r="N129" s="20">
        <f t="shared" si="107"/>
        <v>20250000</v>
      </c>
      <c r="O129" s="136">
        <f t="shared" si="56"/>
        <v>100</v>
      </c>
      <c r="P129" s="20"/>
      <c r="Q129" s="472"/>
      <c r="R129" s="20"/>
      <c r="S129" s="20"/>
      <c r="T129" s="466">
        <f t="shared" si="108"/>
        <v>0</v>
      </c>
      <c r="U129" s="472">
        <f t="shared" si="57"/>
        <v>0</v>
      </c>
      <c r="V129" s="472">
        <f t="shared" si="59"/>
        <v>20250000</v>
      </c>
      <c r="W129" s="472">
        <f t="shared" si="55"/>
        <v>100</v>
      </c>
      <c r="X129" s="472">
        <f t="shared" si="60"/>
        <v>20250000</v>
      </c>
      <c r="Y129" s="472">
        <f t="shared" si="58"/>
        <v>100</v>
      </c>
    </row>
    <row r="130" spans="1:53" ht="24">
      <c r="A130" s="447"/>
      <c r="B130" s="475" t="s">
        <v>72</v>
      </c>
      <c r="C130" s="475" t="s">
        <v>73</v>
      </c>
      <c r="D130" s="475" t="s">
        <v>73</v>
      </c>
      <c r="E130" s="475" t="s">
        <v>68</v>
      </c>
      <c r="F130" s="475" t="s">
        <v>116</v>
      </c>
      <c r="G130" s="12" t="s">
        <v>180</v>
      </c>
      <c r="H130" s="12"/>
      <c r="I130" s="13">
        <v>38500000</v>
      </c>
      <c r="J130" s="13">
        <v>0</v>
      </c>
      <c r="K130" s="13">
        <v>38500000</v>
      </c>
      <c r="L130" s="13">
        <v>0</v>
      </c>
      <c r="M130" s="17">
        <v>0</v>
      </c>
      <c r="N130" s="20">
        <f t="shared" si="107"/>
        <v>38500000</v>
      </c>
      <c r="O130" s="136">
        <f t="shared" si="56"/>
        <v>100</v>
      </c>
      <c r="P130" s="20"/>
      <c r="Q130" s="472"/>
      <c r="R130" s="20"/>
      <c r="S130" s="20"/>
      <c r="T130" s="466">
        <f t="shared" si="108"/>
        <v>0</v>
      </c>
      <c r="U130" s="472">
        <f t="shared" si="57"/>
        <v>0</v>
      </c>
      <c r="V130" s="472">
        <f t="shared" si="59"/>
        <v>38500000</v>
      </c>
      <c r="W130" s="472">
        <f t="shared" si="55"/>
        <v>100</v>
      </c>
      <c r="X130" s="472">
        <f t="shared" si="60"/>
        <v>38500000</v>
      </c>
      <c r="Y130" s="472">
        <f t="shared" si="58"/>
        <v>100</v>
      </c>
    </row>
    <row r="131" spans="1:53">
      <c r="A131" s="447"/>
      <c r="B131" s="475" t="s">
        <v>72</v>
      </c>
      <c r="C131" s="475" t="s">
        <v>73</v>
      </c>
      <c r="D131" s="475" t="s">
        <v>73</v>
      </c>
      <c r="E131" s="475" t="s">
        <v>68</v>
      </c>
      <c r="F131" s="475" t="s">
        <v>190</v>
      </c>
      <c r="G131" s="12" t="s">
        <v>191</v>
      </c>
      <c r="H131" s="12"/>
      <c r="I131" s="13">
        <v>54000000</v>
      </c>
      <c r="J131" s="13">
        <v>0</v>
      </c>
      <c r="K131" s="13">
        <v>54000000</v>
      </c>
      <c r="L131" s="13">
        <v>0</v>
      </c>
      <c r="M131" s="17">
        <v>0</v>
      </c>
      <c r="N131" s="20">
        <f t="shared" si="107"/>
        <v>54000000</v>
      </c>
      <c r="O131" s="136">
        <f t="shared" si="56"/>
        <v>100</v>
      </c>
      <c r="P131" s="20"/>
      <c r="Q131" s="472"/>
      <c r="R131" s="20"/>
      <c r="S131" s="20"/>
      <c r="T131" s="466">
        <f t="shared" si="108"/>
        <v>0</v>
      </c>
      <c r="U131" s="472">
        <f t="shared" si="57"/>
        <v>0</v>
      </c>
      <c r="V131" s="472">
        <f t="shared" si="59"/>
        <v>54000000</v>
      </c>
      <c r="W131" s="472">
        <f t="shared" si="55"/>
        <v>100</v>
      </c>
      <c r="X131" s="472">
        <f t="shared" si="60"/>
        <v>54000000</v>
      </c>
      <c r="Y131" s="472">
        <f t="shared" si="58"/>
        <v>100</v>
      </c>
    </row>
    <row r="132" spans="1:53">
      <c r="A132" s="447"/>
      <c r="B132" s="475" t="s">
        <v>72</v>
      </c>
      <c r="C132" s="475" t="s">
        <v>73</v>
      </c>
      <c r="D132" s="475" t="s">
        <v>73</v>
      </c>
      <c r="E132" s="475" t="s">
        <v>80</v>
      </c>
      <c r="F132" s="475" t="s">
        <v>160</v>
      </c>
      <c r="G132" s="12" t="s">
        <v>181</v>
      </c>
      <c r="H132" s="12"/>
      <c r="I132" s="13">
        <v>26160000</v>
      </c>
      <c r="J132" s="13">
        <v>0</v>
      </c>
      <c r="K132" s="13">
        <v>26160000</v>
      </c>
      <c r="L132" s="13">
        <v>0</v>
      </c>
      <c r="M132" s="17">
        <v>0</v>
      </c>
      <c r="N132" s="20">
        <f t="shared" si="107"/>
        <v>26160000</v>
      </c>
      <c r="O132" s="136">
        <f t="shared" si="56"/>
        <v>100</v>
      </c>
      <c r="P132" s="20"/>
      <c r="Q132" s="472"/>
      <c r="R132" s="20"/>
      <c r="S132" s="20"/>
      <c r="T132" s="466">
        <f t="shared" si="108"/>
        <v>0</v>
      </c>
      <c r="U132" s="472">
        <f t="shared" si="57"/>
        <v>0</v>
      </c>
      <c r="V132" s="472">
        <f t="shared" si="59"/>
        <v>26160000</v>
      </c>
      <c r="W132" s="472">
        <f t="shared" si="55"/>
        <v>100</v>
      </c>
      <c r="X132" s="472">
        <f t="shared" si="60"/>
        <v>26160000</v>
      </c>
      <c r="Y132" s="472">
        <f t="shared" si="58"/>
        <v>100</v>
      </c>
    </row>
    <row r="133" spans="1:53">
      <c r="A133" s="447"/>
      <c r="B133" s="479" t="s">
        <v>72</v>
      </c>
      <c r="C133" s="479" t="s">
        <v>73</v>
      </c>
      <c r="D133" s="479" t="s">
        <v>73</v>
      </c>
      <c r="E133" s="479" t="s">
        <v>66</v>
      </c>
      <c r="F133" s="480" t="s">
        <v>182</v>
      </c>
      <c r="G133" s="15" t="s">
        <v>183</v>
      </c>
      <c r="H133" s="15"/>
      <c r="I133" s="14">
        <v>12600000</v>
      </c>
      <c r="J133" s="14">
        <v>0</v>
      </c>
      <c r="K133" s="14">
        <v>12600000</v>
      </c>
      <c r="L133" s="14">
        <v>0</v>
      </c>
      <c r="M133" s="138">
        <v>0</v>
      </c>
      <c r="N133" s="20">
        <f t="shared" si="107"/>
        <v>12600000</v>
      </c>
      <c r="O133" s="136">
        <f t="shared" si="56"/>
        <v>100</v>
      </c>
      <c r="P133" s="20"/>
      <c r="Q133" s="472"/>
      <c r="R133" s="20"/>
      <c r="S133" s="20"/>
      <c r="T133" s="466">
        <f t="shared" si="108"/>
        <v>0</v>
      </c>
      <c r="U133" s="472">
        <f t="shared" si="57"/>
        <v>0</v>
      </c>
      <c r="V133" s="472">
        <f t="shared" si="59"/>
        <v>12600000</v>
      </c>
      <c r="W133" s="472">
        <f t="shared" si="55"/>
        <v>100</v>
      </c>
      <c r="X133" s="472">
        <f t="shared" si="60"/>
        <v>12600000</v>
      </c>
      <c r="Y133" s="472">
        <f t="shared" si="58"/>
        <v>100</v>
      </c>
    </row>
    <row r="134" spans="1:53">
      <c r="A134" s="447"/>
      <c r="B134" s="475" t="s">
        <v>72</v>
      </c>
      <c r="C134" s="475" t="s">
        <v>73</v>
      </c>
      <c r="D134" s="475" t="s">
        <v>80</v>
      </c>
      <c r="E134" s="475" t="s">
        <v>68</v>
      </c>
      <c r="F134" s="475" t="s">
        <v>81</v>
      </c>
      <c r="G134" s="15" t="s">
        <v>82</v>
      </c>
      <c r="H134" s="15"/>
      <c r="I134" s="13">
        <v>13870000</v>
      </c>
      <c r="J134" s="13">
        <v>5800000</v>
      </c>
      <c r="K134" s="13">
        <v>8070000</v>
      </c>
      <c r="L134" s="13">
        <v>0</v>
      </c>
      <c r="M134" s="17">
        <v>0</v>
      </c>
      <c r="N134" s="20">
        <f t="shared" si="107"/>
        <v>13870000</v>
      </c>
      <c r="O134" s="136">
        <f t="shared" si="56"/>
        <v>100</v>
      </c>
      <c r="P134" s="20"/>
      <c r="Q134" s="472">
        <f>4060000</f>
        <v>4060000</v>
      </c>
      <c r="R134" s="20"/>
      <c r="S134" s="20"/>
      <c r="T134" s="472">
        <f t="shared" si="108"/>
        <v>4060000</v>
      </c>
      <c r="U134" s="472">
        <f t="shared" si="57"/>
        <v>29.271809661139148</v>
      </c>
      <c r="V134" s="472">
        <f t="shared" si="59"/>
        <v>9810000</v>
      </c>
      <c r="W134" s="472">
        <f t="shared" si="55"/>
        <v>70.728190338860855</v>
      </c>
      <c r="X134" s="472">
        <f t="shared" si="60"/>
        <v>9810000</v>
      </c>
      <c r="Y134" s="472">
        <f t="shared" si="58"/>
        <v>70.728190338860855</v>
      </c>
    </row>
    <row r="135" spans="1:53" s="484" customFormat="1" ht="24">
      <c r="A135" s="481">
        <v>26</v>
      </c>
      <c r="B135" s="482">
        <v>1</v>
      </c>
      <c r="C135" s="482" t="s">
        <v>66</v>
      </c>
      <c r="D135" s="482" t="s">
        <v>93</v>
      </c>
      <c r="E135" s="482" t="s">
        <v>70</v>
      </c>
      <c r="F135" s="482" t="s">
        <v>73</v>
      </c>
      <c r="G135" s="143" t="s">
        <v>14</v>
      </c>
      <c r="H135" s="143"/>
      <c r="I135" s="144">
        <f>SUM(I136:I144)</f>
        <v>25206100</v>
      </c>
      <c r="J135" s="144">
        <f t="shared" ref="J135:N135" si="109">SUM(J136:J144)</f>
        <v>0</v>
      </c>
      <c r="K135" s="144">
        <f t="shared" si="109"/>
        <v>25206100</v>
      </c>
      <c r="L135" s="144">
        <f t="shared" si="109"/>
        <v>0</v>
      </c>
      <c r="M135" s="144">
        <f t="shared" si="109"/>
        <v>0</v>
      </c>
      <c r="N135" s="144">
        <f t="shared" si="109"/>
        <v>25206100</v>
      </c>
      <c r="O135" s="133">
        <f t="shared" si="56"/>
        <v>100</v>
      </c>
      <c r="P135" s="483">
        <f>SUM(P136:P144)</f>
        <v>0</v>
      </c>
      <c r="Q135" s="134">
        <f t="shared" ref="Q135:T135" si="110">SUM(Q136:Q144)</f>
        <v>0</v>
      </c>
      <c r="R135" s="134">
        <f t="shared" si="110"/>
        <v>0</v>
      </c>
      <c r="S135" s="134">
        <f t="shared" si="110"/>
        <v>0</v>
      </c>
      <c r="T135" s="134">
        <f t="shared" si="110"/>
        <v>0</v>
      </c>
      <c r="U135" s="134">
        <f t="shared" si="57"/>
        <v>0</v>
      </c>
      <c r="V135" s="135">
        <f t="shared" si="59"/>
        <v>25206100</v>
      </c>
      <c r="W135" s="134">
        <f t="shared" si="55"/>
        <v>100</v>
      </c>
      <c r="X135" s="135">
        <f t="shared" si="60"/>
        <v>25206100</v>
      </c>
      <c r="Y135" s="134">
        <f t="shared" si="58"/>
        <v>100</v>
      </c>
      <c r="Z135" s="540"/>
      <c r="AA135" s="540"/>
      <c r="AB135" s="540"/>
      <c r="AC135" s="540"/>
      <c r="AD135" s="540"/>
      <c r="AE135" s="540"/>
      <c r="AF135" s="540"/>
      <c r="AG135" s="540"/>
      <c r="AH135" s="540"/>
      <c r="AI135" s="540"/>
      <c r="AJ135" s="540"/>
      <c r="AK135" s="540"/>
      <c r="AL135" s="540"/>
      <c r="AM135" s="540"/>
      <c r="AN135" s="540"/>
      <c r="AO135" s="540"/>
      <c r="AP135" s="540"/>
      <c r="AQ135" s="540"/>
      <c r="AR135" s="540"/>
      <c r="AS135" s="540"/>
      <c r="AT135" s="540"/>
      <c r="AU135" s="540"/>
      <c r="AV135" s="540"/>
      <c r="AW135" s="540"/>
      <c r="AX135" s="540"/>
      <c r="AY135" s="540"/>
      <c r="AZ135" s="540"/>
      <c r="BA135" s="540"/>
    </row>
    <row r="136" spans="1:53" ht="24">
      <c r="A136" s="447"/>
      <c r="B136" s="475" t="s">
        <v>72</v>
      </c>
      <c r="C136" s="475" t="s">
        <v>73</v>
      </c>
      <c r="D136" s="475" t="s">
        <v>68</v>
      </c>
      <c r="E136" s="475" t="s">
        <v>68</v>
      </c>
      <c r="F136" s="475" t="s">
        <v>74</v>
      </c>
      <c r="G136" s="12" t="s">
        <v>178</v>
      </c>
      <c r="H136" s="12"/>
      <c r="I136" s="13">
        <v>3844600</v>
      </c>
      <c r="J136" s="13">
        <v>0</v>
      </c>
      <c r="K136" s="13">
        <v>3844600</v>
      </c>
      <c r="L136" s="13">
        <v>0</v>
      </c>
      <c r="M136" s="17">
        <v>0</v>
      </c>
      <c r="N136" s="20">
        <f>J136+K136</f>
        <v>3844600</v>
      </c>
      <c r="O136" s="136">
        <f t="shared" si="56"/>
        <v>100</v>
      </c>
      <c r="P136" s="20"/>
      <c r="Q136" s="472"/>
      <c r="R136" s="20"/>
      <c r="S136" s="20"/>
      <c r="T136" s="466">
        <f>P136+Q136</f>
        <v>0</v>
      </c>
      <c r="U136" s="472">
        <f t="shared" si="57"/>
        <v>0</v>
      </c>
      <c r="V136" s="472">
        <f t="shared" si="59"/>
        <v>3844600</v>
      </c>
      <c r="W136" s="472">
        <f t="shared" ref="W136:W199" si="111">V136/N136*100</f>
        <v>100</v>
      </c>
      <c r="X136" s="472">
        <f t="shared" si="60"/>
        <v>3844600</v>
      </c>
      <c r="Y136" s="472">
        <f t="shared" si="58"/>
        <v>100</v>
      </c>
    </row>
    <row r="137" spans="1:53" ht="24">
      <c r="A137" s="447"/>
      <c r="B137" s="475" t="s">
        <v>72</v>
      </c>
      <c r="C137" s="475" t="s">
        <v>73</v>
      </c>
      <c r="D137" s="475" t="s">
        <v>68</v>
      </c>
      <c r="E137" s="475" t="s">
        <v>68</v>
      </c>
      <c r="F137" s="475" t="s">
        <v>308</v>
      </c>
      <c r="G137" s="12" t="s">
        <v>309</v>
      </c>
      <c r="H137" s="12"/>
      <c r="I137" s="13">
        <v>143500</v>
      </c>
      <c r="J137" s="13">
        <v>0</v>
      </c>
      <c r="K137" s="13">
        <v>143500</v>
      </c>
      <c r="L137" s="13">
        <v>0</v>
      </c>
      <c r="M137" s="17">
        <v>0</v>
      </c>
      <c r="N137" s="20">
        <f t="shared" ref="N137:N144" si="112">J137+K137</f>
        <v>143500</v>
      </c>
      <c r="O137" s="136">
        <f t="shared" ref="O137:O200" si="113">N137/I137*100</f>
        <v>100</v>
      </c>
      <c r="P137" s="20"/>
      <c r="Q137" s="472"/>
      <c r="R137" s="20"/>
      <c r="S137" s="20"/>
      <c r="T137" s="466">
        <f t="shared" ref="T137:T145" si="114">P137+Q137</f>
        <v>0</v>
      </c>
      <c r="U137" s="472">
        <f t="shared" ref="U137:U200" si="115">T137/N137*100</f>
        <v>0</v>
      </c>
      <c r="V137" s="472">
        <f t="shared" si="59"/>
        <v>143500</v>
      </c>
      <c r="W137" s="472">
        <f t="shared" si="111"/>
        <v>100</v>
      </c>
      <c r="X137" s="472">
        <f t="shared" si="60"/>
        <v>143500</v>
      </c>
      <c r="Y137" s="472">
        <f t="shared" ref="Y137:Y200" si="116">X137/I137*100</f>
        <v>100</v>
      </c>
    </row>
    <row r="138" spans="1:53">
      <c r="A138" s="447"/>
      <c r="B138" s="475" t="s">
        <v>72</v>
      </c>
      <c r="C138" s="475" t="s">
        <v>73</v>
      </c>
      <c r="D138" s="475" t="s">
        <v>68</v>
      </c>
      <c r="E138" s="475" t="s">
        <v>68</v>
      </c>
      <c r="F138" s="478" t="s">
        <v>76</v>
      </c>
      <c r="G138" s="12" t="s">
        <v>179</v>
      </c>
      <c r="H138" s="12"/>
      <c r="I138" s="13">
        <v>600000</v>
      </c>
      <c r="J138" s="13">
        <v>0</v>
      </c>
      <c r="K138" s="13">
        <v>600000</v>
      </c>
      <c r="L138" s="13">
        <v>0</v>
      </c>
      <c r="M138" s="17">
        <v>0</v>
      </c>
      <c r="N138" s="20">
        <f t="shared" si="112"/>
        <v>600000</v>
      </c>
      <c r="O138" s="136">
        <f t="shared" si="113"/>
        <v>100</v>
      </c>
      <c r="P138" s="20"/>
      <c r="Q138" s="472"/>
      <c r="R138" s="20"/>
      <c r="S138" s="20"/>
      <c r="T138" s="466">
        <f t="shared" si="114"/>
        <v>0</v>
      </c>
      <c r="U138" s="472">
        <f t="shared" si="115"/>
        <v>0</v>
      </c>
      <c r="V138" s="472">
        <f t="shared" ref="V138:V201" si="117">N138-T138</f>
        <v>600000</v>
      </c>
      <c r="W138" s="472">
        <f t="shared" si="111"/>
        <v>100</v>
      </c>
      <c r="X138" s="472">
        <f t="shared" ref="X138:X201" si="118">I138-T138</f>
        <v>600000</v>
      </c>
      <c r="Y138" s="472">
        <f t="shared" si="116"/>
        <v>100</v>
      </c>
    </row>
    <row r="139" spans="1:53" ht="24">
      <c r="A139" s="447"/>
      <c r="B139" s="475" t="s">
        <v>72</v>
      </c>
      <c r="C139" s="475" t="s">
        <v>73</v>
      </c>
      <c r="D139" s="475" t="s">
        <v>68</v>
      </c>
      <c r="E139" s="475" t="s">
        <v>68</v>
      </c>
      <c r="F139" s="475" t="s">
        <v>190</v>
      </c>
      <c r="G139" s="12" t="s">
        <v>310</v>
      </c>
      <c r="H139" s="12"/>
      <c r="I139" s="13">
        <v>938000</v>
      </c>
      <c r="J139" s="13">
        <v>0</v>
      </c>
      <c r="K139" s="13">
        <v>938000</v>
      </c>
      <c r="L139" s="13">
        <v>0</v>
      </c>
      <c r="M139" s="17">
        <v>0</v>
      </c>
      <c r="N139" s="20">
        <f t="shared" si="112"/>
        <v>938000</v>
      </c>
      <c r="O139" s="136">
        <f t="shared" si="113"/>
        <v>100</v>
      </c>
      <c r="P139" s="20"/>
      <c r="Q139" s="472"/>
      <c r="R139" s="20"/>
      <c r="S139" s="20"/>
      <c r="T139" s="466">
        <f t="shared" si="114"/>
        <v>0</v>
      </c>
      <c r="U139" s="472">
        <f t="shared" si="115"/>
        <v>0</v>
      </c>
      <c r="V139" s="472">
        <f t="shared" si="117"/>
        <v>938000</v>
      </c>
      <c r="W139" s="472">
        <f t="shared" si="111"/>
        <v>100</v>
      </c>
      <c r="X139" s="472">
        <f t="shared" si="118"/>
        <v>938000</v>
      </c>
      <c r="Y139" s="472">
        <f t="shared" si="116"/>
        <v>100</v>
      </c>
    </row>
    <row r="140" spans="1:53">
      <c r="A140" s="447"/>
      <c r="B140" s="475" t="s">
        <v>72</v>
      </c>
      <c r="C140" s="475" t="s">
        <v>73</v>
      </c>
      <c r="D140" s="475" t="s">
        <v>68</v>
      </c>
      <c r="E140" s="475" t="s">
        <v>68</v>
      </c>
      <c r="F140" s="475" t="s">
        <v>78</v>
      </c>
      <c r="G140" s="12" t="s">
        <v>79</v>
      </c>
      <c r="H140" s="12"/>
      <c r="I140" s="13">
        <v>10500000</v>
      </c>
      <c r="J140" s="13">
        <v>0</v>
      </c>
      <c r="K140" s="13">
        <v>10500000</v>
      </c>
      <c r="L140" s="13">
        <v>0</v>
      </c>
      <c r="M140" s="17">
        <v>0</v>
      </c>
      <c r="N140" s="20">
        <f t="shared" si="112"/>
        <v>10500000</v>
      </c>
      <c r="O140" s="136">
        <f t="shared" si="113"/>
        <v>100</v>
      </c>
      <c r="P140" s="20"/>
      <c r="Q140" s="472"/>
      <c r="R140" s="20"/>
      <c r="S140" s="20"/>
      <c r="T140" s="466">
        <f t="shared" si="114"/>
        <v>0</v>
      </c>
      <c r="U140" s="472">
        <f t="shared" si="115"/>
        <v>0</v>
      </c>
      <c r="V140" s="472">
        <f t="shared" si="117"/>
        <v>10500000</v>
      </c>
      <c r="W140" s="472">
        <f t="shared" si="111"/>
        <v>100</v>
      </c>
      <c r="X140" s="472">
        <f t="shared" si="118"/>
        <v>10500000</v>
      </c>
      <c r="Y140" s="472">
        <f t="shared" si="116"/>
        <v>100</v>
      </c>
    </row>
    <row r="141" spans="1:53" ht="24">
      <c r="A141" s="447"/>
      <c r="B141" s="475" t="s">
        <v>72</v>
      </c>
      <c r="C141" s="475" t="s">
        <v>73</v>
      </c>
      <c r="D141" s="475" t="s">
        <v>73</v>
      </c>
      <c r="E141" s="475" t="s">
        <v>68</v>
      </c>
      <c r="F141" s="478" t="s">
        <v>116</v>
      </c>
      <c r="G141" s="12" t="s">
        <v>180</v>
      </c>
      <c r="H141" s="12"/>
      <c r="I141" s="13">
        <v>5500000</v>
      </c>
      <c r="J141" s="13">
        <v>0</v>
      </c>
      <c r="K141" s="13">
        <v>5500000</v>
      </c>
      <c r="L141" s="13">
        <v>0</v>
      </c>
      <c r="M141" s="17">
        <v>0</v>
      </c>
      <c r="N141" s="20">
        <f t="shared" si="112"/>
        <v>5500000</v>
      </c>
      <c r="O141" s="136">
        <f t="shared" si="113"/>
        <v>100</v>
      </c>
      <c r="P141" s="20"/>
      <c r="Q141" s="472"/>
      <c r="R141" s="20"/>
      <c r="S141" s="20"/>
      <c r="T141" s="466">
        <f t="shared" si="114"/>
        <v>0</v>
      </c>
      <c r="U141" s="472">
        <f t="shared" si="115"/>
        <v>0</v>
      </c>
      <c r="V141" s="472">
        <f t="shared" si="117"/>
        <v>5500000</v>
      </c>
      <c r="W141" s="472">
        <f t="shared" si="111"/>
        <v>100</v>
      </c>
      <c r="X141" s="472">
        <f t="shared" si="118"/>
        <v>5500000</v>
      </c>
      <c r="Y141" s="472">
        <f t="shared" si="116"/>
        <v>100</v>
      </c>
    </row>
    <row r="142" spans="1:53">
      <c r="A142" s="447"/>
      <c r="B142" s="475" t="s">
        <v>72</v>
      </c>
      <c r="C142" s="475" t="s">
        <v>73</v>
      </c>
      <c r="D142" s="475" t="s">
        <v>73</v>
      </c>
      <c r="E142" s="475" t="s">
        <v>80</v>
      </c>
      <c r="F142" s="475" t="s">
        <v>162</v>
      </c>
      <c r="G142" s="12" t="s">
        <v>322</v>
      </c>
      <c r="H142" s="12"/>
      <c r="I142" s="13">
        <v>920000</v>
      </c>
      <c r="J142" s="13">
        <v>0</v>
      </c>
      <c r="K142" s="13">
        <v>920000</v>
      </c>
      <c r="L142" s="13">
        <v>0</v>
      </c>
      <c r="M142" s="17">
        <v>0</v>
      </c>
      <c r="N142" s="20">
        <f t="shared" si="112"/>
        <v>920000</v>
      </c>
      <c r="O142" s="136">
        <f t="shared" si="113"/>
        <v>100</v>
      </c>
      <c r="P142" s="20"/>
      <c r="Q142" s="472"/>
      <c r="R142" s="20"/>
      <c r="S142" s="20"/>
      <c r="T142" s="466">
        <f t="shared" si="114"/>
        <v>0</v>
      </c>
      <c r="U142" s="472">
        <f t="shared" si="115"/>
        <v>0</v>
      </c>
      <c r="V142" s="472">
        <f t="shared" si="117"/>
        <v>920000</v>
      </c>
      <c r="W142" s="472">
        <f t="shared" si="111"/>
        <v>100</v>
      </c>
      <c r="X142" s="472">
        <f t="shared" si="118"/>
        <v>920000</v>
      </c>
      <c r="Y142" s="472">
        <f t="shared" si="116"/>
        <v>100</v>
      </c>
    </row>
    <row r="143" spans="1:53">
      <c r="A143" s="447"/>
      <c r="B143" s="475" t="s">
        <v>72</v>
      </c>
      <c r="C143" s="475" t="s">
        <v>73</v>
      </c>
      <c r="D143" s="475" t="s">
        <v>73</v>
      </c>
      <c r="E143" s="475" t="s">
        <v>66</v>
      </c>
      <c r="F143" s="475" t="s">
        <v>182</v>
      </c>
      <c r="G143" s="12" t="s">
        <v>183</v>
      </c>
      <c r="H143" s="12"/>
      <c r="I143" s="13">
        <v>900000</v>
      </c>
      <c r="J143" s="13">
        <v>0</v>
      </c>
      <c r="K143" s="13">
        <v>900000</v>
      </c>
      <c r="L143" s="13">
        <v>0</v>
      </c>
      <c r="M143" s="17">
        <v>0</v>
      </c>
      <c r="N143" s="20">
        <f t="shared" si="112"/>
        <v>900000</v>
      </c>
      <c r="O143" s="136">
        <f t="shared" si="113"/>
        <v>100</v>
      </c>
      <c r="P143" s="20"/>
      <c r="Q143" s="472"/>
      <c r="R143" s="20"/>
      <c r="S143" s="20"/>
      <c r="T143" s="466">
        <f t="shared" si="114"/>
        <v>0</v>
      </c>
      <c r="U143" s="472">
        <f t="shared" si="115"/>
        <v>0</v>
      </c>
      <c r="V143" s="472">
        <f t="shared" si="117"/>
        <v>900000</v>
      </c>
      <c r="W143" s="472">
        <f t="shared" si="111"/>
        <v>100</v>
      </c>
      <c r="X143" s="472">
        <f t="shared" si="118"/>
        <v>900000</v>
      </c>
      <c r="Y143" s="472">
        <f t="shared" si="116"/>
        <v>100</v>
      </c>
    </row>
    <row r="144" spans="1:53">
      <c r="A144" s="447"/>
      <c r="B144" s="475" t="s">
        <v>72</v>
      </c>
      <c r="C144" s="475" t="s">
        <v>73</v>
      </c>
      <c r="D144" s="475" t="s">
        <v>80</v>
      </c>
      <c r="E144" s="475" t="s">
        <v>68</v>
      </c>
      <c r="F144" s="475" t="s">
        <v>81</v>
      </c>
      <c r="G144" s="12" t="s">
        <v>82</v>
      </c>
      <c r="H144" s="12"/>
      <c r="I144" s="13">
        <v>1860000</v>
      </c>
      <c r="J144" s="13">
        <v>0</v>
      </c>
      <c r="K144" s="13">
        <v>1860000</v>
      </c>
      <c r="L144" s="13">
        <v>0</v>
      </c>
      <c r="M144" s="17">
        <v>0</v>
      </c>
      <c r="N144" s="20">
        <f t="shared" si="112"/>
        <v>1860000</v>
      </c>
      <c r="O144" s="136">
        <f t="shared" si="113"/>
        <v>100</v>
      </c>
      <c r="P144" s="20"/>
      <c r="Q144" s="472"/>
      <c r="R144" s="20"/>
      <c r="S144" s="20"/>
      <c r="T144" s="466">
        <f t="shared" si="114"/>
        <v>0</v>
      </c>
      <c r="U144" s="472">
        <f t="shared" si="115"/>
        <v>0</v>
      </c>
      <c r="V144" s="472">
        <f t="shared" si="117"/>
        <v>1860000</v>
      </c>
      <c r="W144" s="472">
        <f t="shared" si="111"/>
        <v>100</v>
      </c>
      <c r="X144" s="472">
        <f t="shared" si="118"/>
        <v>1860000</v>
      </c>
      <c r="Y144" s="472">
        <f t="shared" si="116"/>
        <v>100</v>
      </c>
    </row>
    <row r="145" spans="1:53" s="226" customFormat="1" ht="24">
      <c r="A145" s="447"/>
      <c r="B145" s="489">
        <v>1</v>
      </c>
      <c r="C145" s="489" t="s">
        <v>66</v>
      </c>
      <c r="D145" s="489" t="s">
        <v>93</v>
      </c>
      <c r="E145" s="489" t="s">
        <v>87</v>
      </c>
      <c r="F145" s="489"/>
      <c r="G145" s="493" t="s">
        <v>15</v>
      </c>
      <c r="H145" s="493"/>
      <c r="I145" s="492">
        <f>I146+I158+I169+I172+I182+I193+I204</f>
        <v>485492590</v>
      </c>
      <c r="J145" s="492">
        <f t="shared" ref="J145:N145" si="119">J146+J158+J169+J172+J182+J193+J204</f>
        <v>0</v>
      </c>
      <c r="K145" s="492">
        <f t="shared" si="119"/>
        <v>124720000</v>
      </c>
      <c r="L145" s="492">
        <f t="shared" si="119"/>
        <v>161590950</v>
      </c>
      <c r="M145" s="492">
        <f t="shared" si="119"/>
        <v>199181640</v>
      </c>
      <c r="N145" s="492">
        <f t="shared" si="119"/>
        <v>124720000</v>
      </c>
      <c r="O145" s="465">
        <f t="shared" si="113"/>
        <v>25.68937251956822</v>
      </c>
      <c r="P145" s="32">
        <f>P146+P158+P169+P172+P182+P193+P204</f>
        <v>0</v>
      </c>
      <c r="Q145" s="466"/>
      <c r="R145" s="32"/>
      <c r="S145" s="32"/>
      <c r="T145" s="466">
        <f t="shared" si="114"/>
        <v>0</v>
      </c>
      <c r="U145" s="466">
        <f t="shared" si="115"/>
        <v>0</v>
      </c>
      <c r="V145" s="472">
        <f t="shared" si="117"/>
        <v>124720000</v>
      </c>
      <c r="W145" s="472">
        <f t="shared" si="111"/>
        <v>100</v>
      </c>
      <c r="X145" s="472">
        <f t="shared" si="118"/>
        <v>485492590</v>
      </c>
      <c r="Y145" s="472">
        <f t="shared" si="116"/>
        <v>100</v>
      </c>
      <c r="Z145" s="533"/>
      <c r="AA145" s="533"/>
      <c r="AB145" s="533"/>
      <c r="AC145" s="533"/>
      <c r="AD145" s="533"/>
      <c r="AE145" s="533"/>
      <c r="AF145" s="533"/>
      <c r="AG145" s="533"/>
      <c r="AH145" s="533"/>
      <c r="AI145" s="533"/>
      <c r="AJ145" s="533"/>
      <c r="AK145" s="533"/>
      <c r="AL145" s="533"/>
      <c r="AM145" s="533"/>
      <c r="AN145" s="533"/>
      <c r="AO145" s="533"/>
      <c r="AP145" s="533"/>
      <c r="AQ145" s="533"/>
      <c r="AR145" s="533"/>
      <c r="AS145" s="533"/>
      <c r="AT145" s="533"/>
      <c r="AU145" s="533"/>
      <c r="AV145" s="533"/>
      <c r="AW145" s="533"/>
      <c r="AX145" s="533"/>
      <c r="AY145" s="533"/>
      <c r="AZ145" s="533"/>
      <c r="BA145" s="533"/>
    </row>
    <row r="146" spans="1:53" s="484" customFormat="1" ht="24">
      <c r="A146" s="481">
        <v>27</v>
      </c>
      <c r="B146" s="482">
        <v>1</v>
      </c>
      <c r="C146" s="482" t="s">
        <v>66</v>
      </c>
      <c r="D146" s="482" t="s">
        <v>93</v>
      </c>
      <c r="E146" s="482" t="s">
        <v>87</v>
      </c>
      <c r="F146" s="482" t="s">
        <v>68</v>
      </c>
      <c r="G146" s="143" t="s">
        <v>16</v>
      </c>
      <c r="H146" s="143"/>
      <c r="I146" s="144">
        <f>SUM(I147:I157)</f>
        <v>174790750</v>
      </c>
      <c r="J146" s="144">
        <f t="shared" ref="J146:N146" si="120">SUM(J147:J157)</f>
        <v>0</v>
      </c>
      <c r="K146" s="144">
        <f t="shared" si="120"/>
        <v>0</v>
      </c>
      <c r="L146" s="144">
        <f t="shared" si="120"/>
        <v>91440750</v>
      </c>
      <c r="M146" s="144">
        <f t="shared" si="120"/>
        <v>83350000</v>
      </c>
      <c r="N146" s="144">
        <f t="shared" si="120"/>
        <v>0</v>
      </c>
      <c r="O146" s="133">
        <f t="shared" si="113"/>
        <v>0</v>
      </c>
      <c r="P146" s="483">
        <f>SUM(P147:P157)</f>
        <v>0</v>
      </c>
      <c r="Q146" s="134">
        <f t="shared" ref="Q146:T146" si="121">SUM(Q147:Q157)</f>
        <v>0</v>
      </c>
      <c r="R146" s="134">
        <f t="shared" si="121"/>
        <v>0</v>
      </c>
      <c r="S146" s="134">
        <f t="shared" si="121"/>
        <v>0</v>
      </c>
      <c r="T146" s="134">
        <f t="shared" si="121"/>
        <v>0</v>
      </c>
      <c r="U146" s="134" t="e">
        <f t="shared" si="115"/>
        <v>#DIV/0!</v>
      </c>
      <c r="V146" s="135">
        <f t="shared" si="117"/>
        <v>0</v>
      </c>
      <c r="W146" s="134" t="e">
        <f t="shared" si="111"/>
        <v>#DIV/0!</v>
      </c>
      <c r="X146" s="135">
        <f t="shared" si="118"/>
        <v>174790750</v>
      </c>
      <c r="Y146" s="134">
        <f t="shared" si="116"/>
        <v>100</v>
      </c>
      <c r="Z146" s="540"/>
      <c r="AA146" s="540"/>
      <c r="AB146" s="540"/>
      <c r="AC146" s="540"/>
      <c r="AD146" s="540"/>
      <c r="AE146" s="540"/>
      <c r="AF146" s="540"/>
      <c r="AG146" s="540"/>
      <c r="AH146" s="540"/>
      <c r="AI146" s="540"/>
      <c r="AJ146" s="540"/>
      <c r="AK146" s="540"/>
      <c r="AL146" s="540"/>
      <c r="AM146" s="540"/>
      <c r="AN146" s="540"/>
      <c r="AO146" s="540"/>
      <c r="AP146" s="540"/>
      <c r="AQ146" s="540"/>
      <c r="AR146" s="540"/>
      <c r="AS146" s="540"/>
      <c r="AT146" s="540"/>
      <c r="AU146" s="540"/>
      <c r="AV146" s="540"/>
      <c r="AW146" s="540"/>
      <c r="AX146" s="540"/>
      <c r="AY146" s="540"/>
      <c r="AZ146" s="540"/>
      <c r="BA146" s="540"/>
    </row>
    <row r="147" spans="1:53" ht="24">
      <c r="A147" s="447"/>
      <c r="B147" s="475" t="s">
        <v>72</v>
      </c>
      <c r="C147" s="475" t="s">
        <v>73</v>
      </c>
      <c r="D147" s="475" t="s">
        <v>68</v>
      </c>
      <c r="E147" s="475" t="s">
        <v>68</v>
      </c>
      <c r="F147" s="475" t="s">
        <v>74</v>
      </c>
      <c r="G147" s="12" t="s">
        <v>178</v>
      </c>
      <c r="H147" s="12"/>
      <c r="I147" s="13">
        <v>1189600</v>
      </c>
      <c r="J147" s="13">
        <v>0</v>
      </c>
      <c r="K147" s="13">
        <v>0</v>
      </c>
      <c r="L147" s="13">
        <v>1189600</v>
      </c>
      <c r="M147" s="17">
        <v>0</v>
      </c>
      <c r="N147" s="20">
        <f>J147+K147</f>
        <v>0</v>
      </c>
      <c r="O147" s="136">
        <f t="shared" si="113"/>
        <v>0</v>
      </c>
      <c r="P147" s="20"/>
      <c r="Q147" s="472"/>
      <c r="R147" s="20"/>
      <c r="S147" s="20"/>
      <c r="T147" s="466">
        <f>P147+Q147</f>
        <v>0</v>
      </c>
      <c r="U147" s="472" t="e">
        <f t="shared" si="115"/>
        <v>#DIV/0!</v>
      </c>
      <c r="V147" s="472">
        <f t="shared" si="117"/>
        <v>0</v>
      </c>
      <c r="W147" s="472" t="e">
        <f t="shared" si="111"/>
        <v>#DIV/0!</v>
      </c>
      <c r="X147" s="472">
        <f t="shared" si="118"/>
        <v>1189600</v>
      </c>
      <c r="Y147" s="472">
        <f t="shared" si="116"/>
        <v>100</v>
      </c>
    </row>
    <row r="148" spans="1:53" ht="24">
      <c r="A148" s="447"/>
      <c r="B148" s="479" t="s">
        <v>72</v>
      </c>
      <c r="C148" s="479" t="s">
        <v>73</v>
      </c>
      <c r="D148" s="479" t="s">
        <v>68</v>
      </c>
      <c r="E148" s="479" t="s">
        <v>68</v>
      </c>
      <c r="F148" s="480" t="s">
        <v>308</v>
      </c>
      <c r="G148" s="15" t="s">
        <v>309</v>
      </c>
      <c r="H148" s="15"/>
      <c r="I148" s="14">
        <v>542150</v>
      </c>
      <c r="J148" s="14">
        <v>0</v>
      </c>
      <c r="K148" s="14">
        <v>0</v>
      </c>
      <c r="L148" s="14">
        <v>542150</v>
      </c>
      <c r="M148" s="138">
        <v>0</v>
      </c>
      <c r="N148" s="20">
        <f t="shared" ref="N148:N157" si="122">J148+K148</f>
        <v>0</v>
      </c>
      <c r="O148" s="136">
        <f t="shared" si="113"/>
        <v>0</v>
      </c>
      <c r="P148" s="20"/>
      <c r="Q148" s="472"/>
      <c r="R148" s="20"/>
      <c r="S148" s="20"/>
      <c r="T148" s="466">
        <f t="shared" ref="T148:T157" si="123">P148+Q148</f>
        <v>0</v>
      </c>
      <c r="U148" s="472" t="e">
        <f t="shared" si="115"/>
        <v>#DIV/0!</v>
      </c>
      <c r="V148" s="472">
        <f t="shared" si="117"/>
        <v>0</v>
      </c>
      <c r="W148" s="472" t="e">
        <f t="shared" si="111"/>
        <v>#DIV/0!</v>
      </c>
      <c r="X148" s="472">
        <f t="shared" si="118"/>
        <v>542150</v>
      </c>
      <c r="Y148" s="472">
        <f t="shared" si="116"/>
        <v>100</v>
      </c>
    </row>
    <row r="149" spans="1:53">
      <c r="A149" s="447"/>
      <c r="B149" s="475" t="s">
        <v>72</v>
      </c>
      <c r="C149" s="475" t="s">
        <v>73</v>
      </c>
      <c r="D149" s="475" t="s">
        <v>68</v>
      </c>
      <c r="E149" s="475" t="s">
        <v>68</v>
      </c>
      <c r="F149" s="475" t="s">
        <v>76</v>
      </c>
      <c r="G149" s="12" t="s">
        <v>179</v>
      </c>
      <c r="H149" s="12"/>
      <c r="I149" s="13">
        <v>6500000</v>
      </c>
      <c r="J149" s="13">
        <v>0</v>
      </c>
      <c r="K149" s="13">
        <v>0</v>
      </c>
      <c r="L149" s="13">
        <v>1500000</v>
      </c>
      <c r="M149" s="17">
        <v>5000000</v>
      </c>
      <c r="N149" s="20">
        <f t="shared" si="122"/>
        <v>0</v>
      </c>
      <c r="O149" s="136">
        <f t="shared" si="113"/>
        <v>0</v>
      </c>
      <c r="P149" s="20"/>
      <c r="Q149" s="472"/>
      <c r="R149" s="20"/>
      <c r="S149" s="20"/>
      <c r="T149" s="466">
        <f t="shared" si="123"/>
        <v>0</v>
      </c>
      <c r="U149" s="472" t="e">
        <f t="shared" si="115"/>
        <v>#DIV/0!</v>
      </c>
      <c r="V149" s="472">
        <f t="shared" si="117"/>
        <v>0</v>
      </c>
      <c r="W149" s="472" t="e">
        <f t="shared" si="111"/>
        <v>#DIV/0!</v>
      </c>
      <c r="X149" s="472">
        <f t="shared" si="118"/>
        <v>6500000</v>
      </c>
      <c r="Y149" s="472">
        <f t="shared" si="116"/>
        <v>100</v>
      </c>
    </row>
    <row r="150" spans="1:53">
      <c r="A150" s="447"/>
      <c r="B150" s="475" t="s">
        <v>72</v>
      </c>
      <c r="C150" s="475" t="s">
        <v>73</v>
      </c>
      <c r="D150" s="475" t="s">
        <v>68</v>
      </c>
      <c r="E150" s="475" t="s">
        <v>68</v>
      </c>
      <c r="F150" s="475" t="s">
        <v>144</v>
      </c>
      <c r="G150" s="12" t="s">
        <v>145</v>
      </c>
      <c r="H150" s="12"/>
      <c r="I150" s="13">
        <v>200000</v>
      </c>
      <c r="J150" s="13">
        <v>0</v>
      </c>
      <c r="K150" s="13">
        <v>0</v>
      </c>
      <c r="L150" s="13">
        <v>200000</v>
      </c>
      <c r="M150" s="17">
        <v>0</v>
      </c>
      <c r="N150" s="20">
        <f t="shared" si="122"/>
        <v>0</v>
      </c>
      <c r="O150" s="136">
        <f t="shared" si="113"/>
        <v>0</v>
      </c>
      <c r="P150" s="20"/>
      <c r="Q150" s="472"/>
      <c r="R150" s="20"/>
      <c r="S150" s="20"/>
      <c r="T150" s="466">
        <f t="shared" si="123"/>
        <v>0</v>
      </c>
      <c r="U150" s="472" t="e">
        <f t="shared" si="115"/>
        <v>#DIV/0!</v>
      </c>
      <c r="V150" s="472">
        <f t="shared" si="117"/>
        <v>0</v>
      </c>
      <c r="W150" s="472" t="e">
        <f t="shared" si="111"/>
        <v>#DIV/0!</v>
      </c>
      <c r="X150" s="472">
        <f t="shared" si="118"/>
        <v>200000</v>
      </c>
      <c r="Y150" s="472">
        <f t="shared" si="116"/>
        <v>100</v>
      </c>
    </row>
    <row r="151" spans="1:53" ht="24">
      <c r="A151" s="447"/>
      <c r="B151" s="475" t="s">
        <v>72</v>
      </c>
      <c r="C151" s="475" t="s">
        <v>73</v>
      </c>
      <c r="D151" s="475" t="s">
        <v>68</v>
      </c>
      <c r="E151" s="475" t="s">
        <v>68</v>
      </c>
      <c r="F151" s="478" t="s">
        <v>190</v>
      </c>
      <c r="G151" s="12" t="s">
        <v>310</v>
      </c>
      <c r="H151" s="12"/>
      <c r="I151" s="13">
        <v>499000</v>
      </c>
      <c r="J151" s="13">
        <v>0</v>
      </c>
      <c r="K151" s="13">
        <v>0</v>
      </c>
      <c r="L151" s="13">
        <v>499000</v>
      </c>
      <c r="M151" s="17">
        <v>0</v>
      </c>
      <c r="N151" s="20">
        <f t="shared" si="122"/>
        <v>0</v>
      </c>
      <c r="O151" s="136">
        <f t="shared" si="113"/>
        <v>0</v>
      </c>
      <c r="P151" s="20"/>
      <c r="Q151" s="472"/>
      <c r="R151" s="20"/>
      <c r="S151" s="20"/>
      <c r="T151" s="466">
        <f t="shared" si="123"/>
        <v>0</v>
      </c>
      <c r="U151" s="472" t="e">
        <f t="shared" si="115"/>
        <v>#DIV/0!</v>
      </c>
      <c r="V151" s="472">
        <f t="shared" si="117"/>
        <v>0</v>
      </c>
      <c r="W151" s="472" t="e">
        <f t="shared" si="111"/>
        <v>#DIV/0!</v>
      </c>
      <c r="X151" s="472">
        <f t="shared" si="118"/>
        <v>499000</v>
      </c>
      <c r="Y151" s="472">
        <f t="shared" si="116"/>
        <v>100</v>
      </c>
    </row>
    <row r="152" spans="1:53">
      <c r="A152" s="447"/>
      <c r="B152" s="475" t="s">
        <v>72</v>
      </c>
      <c r="C152" s="475" t="s">
        <v>73</v>
      </c>
      <c r="D152" s="475" t="s">
        <v>68</v>
      </c>
      <c r="E152" s="475" t="s">
        <v>68</v>
      </c>
      <c r="F152" s="478" t="s">
        <v>78</v>
      </c>
      <c r="G152" s="12" t="s">
        <v>79</v>
      </c>
      <c r="H152" s="12"/>
      <c r="I152" s="13">
        <v>20250000</v>
      </c>
      <c r="J152" s="13">
        <v>0</v>
      </c>
      <c r="K152" s="13">
        <v>0</v>
      </c>
      <c r="L152" s="13">
        <v>9000000</v>
      </c>
      <c r="M152" s="17">
        <v>11250000</v>
      </c>
      <c r="N152" s="20">
        <f t="shared" si="122"/>
        <v>0</v>
      </c>
      <c r="O152" s="136">
        <f t="shared" si="113"/>
        <v>0</v>
      </c>
      <c r="P152" s="20"/>
      <c r="Q152" s="472"/>
      <c r="R152" s="20"/>
      <c r="S152" s="20"/>
      <c r="T152" s="466">
        <f t="shared" si="123"/>
        <v>0</v>
      </c>
      <c r="U152" s="472" t="e">
        <f t="shared" si="115"/>
        <v>#DIV/0!</v>
      </c>
      <c r="V152" s="472">
        <f t="shared" si="117"/>
        <v>0</v>
      </c>
      <c r="W152" s="472" t="e">
        <f t="shared" si="111"/>
        <v>#DIV/0!</v>
      </c>
      <c r="X152" s="472">
        <f t="shared" si="118"/>
        <v>20250000</v>
      </c>
      <c r="Y152" s="472">
        <f t="shared" si="116"/>
        <v>100</v>
      </c>
    </row>
    <row r="153" spans="1:53" ht="24">
      <c r="A153" s="447"/>
      <c r="B153" s="475" t="s">
        <v>72</v>
      </c>
      <c r="C153" s="475" t="s">
        <v>73</v>
      </c>
      <c r="D153" s="475" t="s">
        <v>73</v>
      </c>
      <c r="E153" s="475" t="s">
        <v>68</v>
      </c>
      <c r="F153" s="478" t="s">
        <v>116</v>
      </c>
      <c r="G153" s="12" t="s">
        <v>180</v>
      </c>
      <c r="H153" s="12"/>
      <c r="I153" s="13">
        <v>38500000</v>
      </c>
      <c r="J153" s="13">
        <v>0</v>
      </c>
      <c r="K153" s="13">
        <v>0</v>
      </c>
      <c r="L153" s="13">
        <v>22000000</v>
      </c>
      <c r="M153" s="17">
        <v>16500000</v>
      </c>
      <c r="N153" s="20">
        <f t="shared" si="122"/>
        <v>0</v>
      </c>
      <c r="O153" s="136">
        <f t="shared" si="113"/>
        <v>0</v>
      </c>
      <c r="P153" s="20"/>
      <c r="Q153" s="472"/>
      <c r="R153" s="20"/>
      <c r="S153" s="20"/>
      <c r="T153" s="466">
        <f t="shared" si="123"/>
        <v>0</v>
      </c>
      <c r="U153" s="472" t="e">
        <f t="shared" si="115"/>
        <v>#DIV/0!</v>
      </c>
      <c r="V153" s="472">
        <f t="shared" si="117"/>
        <v>0</v>
      </c>
      <c r="W153" s="472" t="e">
        <f t="shared" si="111"/>
        <v>#DIV/0!</v>
      </c>
      <c r="X153" s="472">
        <f t="shared" si="118"/>
        <v>38500000</v>
      </c>
      <c r="Y153" s="472">
        <f t="shared" si="116"/>
        <v>100</v>
      </c>
    </row>
    <row r="154" spans="1:53">
      <c r="A154" s="447"/>
      <c r="B154" s="475" t="s">
        <v>72</v>
      </c>
      <c r="C154" s="475" t="s">
        <v>73</v>
      </c>
      <c r="D154" s="475" t="s">
        <v>73</v>
      </c>
      <c r="E154" s="475" t="s">
        <v>68</v>
      </c>
      <c r="F154" s="475" t="s">
        <v>190</v>
      </c>
      <c r="G154" s="12" t="s">
        <v>191</v>
      </c>
      <c r="H154" s="12"/>
      <c r="I154" s="13">
        <v>54000000</v>
      </c>
      <c r="J154" s="13">
        <v>0</v>
      </c>
      <c r="K154" s="13">
        <v>0</v>
      </c>
      <c r="L154" s="13">
        <v>27000000</v>
      </c>
      <c r="M154" s="17">
        <v>27000000</v>
      </c>
      <c r="N154" s="20">
        <f t="shared" si="122"/>
        <v>0</v>
      </c>
      <c r="O154" s="136">
        <f t="shared" si="113"/>
        <v>0</v>
      </c>
      <c r="P154" s="20"/>
      <c r="Q154" s="472"/>
      <c r="R154" s="20"/>
      <c r="S154" s="20"/>
      <c r="T154" s="466">
        <f t="shared" si="123"/>
        <v>0</v>
      </c>
      <c r="U154" s="472" t="e">
        <f t="shared" si="115"/>
        <v>#DIV/0!</v>
      </c>
      <c r="V154" s="472">
        <f t="shared" si="117"/>
        <v>0</v>
      </c>
      <c r="W154" s="472" t="e">
        <f t="shared" si="111"/>
        <v>#DIV/0!</v>
      </c>
      <c r="X154" s="472">
        <f t="shared" si="118"/>
        <v>54000000</v>
      </c>
      <c r="Y154" s="472">
        <f t="shared" si="116"/>
        <v>100</v>
      </c>
    </row>
    <row r="155" spans="1:53">
      <c r="A155" s="447"/>
      <c r="B155" s="475" t="s">
        <v>72</v>
      </c>
      <c r="C155" s="475" t="s">
        <v>73</v>
      </c>
      <c r="D155" s="475" t="s">
        <v>73</v>
      </c>
      <c r="E155" s="475" t="s">
        <v>80</v>
      </c>
      <c r="F155" s="478" t="s">
        <v>160</v>
      </c>
      <c r="G155" s="12" t="s">
        <v>181</v>
      </c>
      <c r="H155" s="12"/>
      <c r="I155" s="13">
        <v>26160000</v>
      </c>
      <c r="J155" s="13">
        <v>0</v>
      </c>
      <c r="K155" s="13">
        <v>0</v>
      </c>
      <c r="L155" s="13">
        <v>6160000</v>
      </c>
      <c r="M155" s="17">
        <v>20000000</v>
      </c>
      <c r="N155" s="20">
        <f t="shared" si="122"/>
        <v>0</v>
      </c>
      <c r="O155" s="136">
        <f t="shared" si="113"/>
        <v>0</v>
      </c>
      <c r="P155" s="20"/>
      <c r="Q155" s="472"/>
      <c r="R155" s="20"/>
      <c r="S155" s="20"/>
      <c r="T155" s="466">
        <f t="shared" si="123"/>
        <v>0</v>
      </c>
      <c r="U155" s="472" t="e">
        <f t="shared" si="115"/>
        <v>#DIV/0!</v>
      </c>
      <c r="V155" s="472">
        <f t="shared" si="117"/>
        <v>0</v>
      </c>
      <c r="W155" s="472" t="e">
        <f t="shared" si="111"/>
        <v>#DIV/0!</v>
      </c>
      <c r="X155" s="472">
        <f t="shared" si="118"/>
        <v>26160000</v>
      </c>
      <c r="Y155" s="472">
        <f t="shared" si="116"/>
        <v>100</v>
      </c>
    </row>
    <row r="156" spans="1:53">
      <c r="A156" s="447"/>
      <c r="B156" s="475" t="s">
        <v>72</v>
      </c>
      <c r="C156" s="475" t="s">
        <v>73</v>
      </c>
      <c r="D156" s="475" t="s">
        <v>73</v>
      </c>
      <c r="E156" s="475" t="s">
        <v>66</v>
      </c>
      <c r="F156" s="478" t="s">
        <v>182</v>
      </c>
      <c r="G156" s="12" t="s">
        <v>183</v>
      </c>
      <c r="H156" s="12"/>
      <c r="I156" s="13">
        <v>12600000</v>
      </c>
      <c r="J156" s="13">
        <v>0</v>
      </c>
      <c r="K156" s="13">
        <v>0</v>
      </c>
      <c r="L156" s="13">
        <v>9000000</v>
      </c>
      <c r="M156" s="17">
        <v>3600000</v>
      </c>
      <c r="N156" s="20">
        <f t="shared" si="122"/>
        <v>0</v>
      </c>
      <c r="O156" s="136">
        <f t="shared" si="113"/>
        <v>0</v>
      </c>
      <c r="P156" s="20"/>
      <c r="Q156" s="472"/>
      <c r="R156" s="20"/>
      <c r="S156" s="20"/>
      <c r="T156" s="466">
        <f t="shared" si="123"/>
        <v>0</v>
      </c>
      <c r="U156" s="472" t="e">
        <f t="shared" si="115"/>
        <v>#DIV/0!</v>
      </c>
      <c r="V156" s="472">
        <f t="shared" si="117"/>
        <v>0</v>
      </c>
      <c r="W156" s="472" t="e">
        <f t="shared" si="111"/>
        <v>#DIV/0!</v>
      </c>
      <c r="X156" s="472">
        <f t="shared" si="118"/>
        <v>12600000</v>
      </c>
      <c r="Y156" s="472">
        <f t="shared" si="116"/>
        <v>100</v>
      </c>
    </row>
    <row r="157" spans="1:53">
      <c r="A157" s="447"/>
      <c r="B157" s="475" t="s">
        <v>72</v>
      </c>
      <c r="C157" s="475" t="s">
        <v>73</v>
      </c>
      <c r="D157" s="475" t="s">
        <v>80</v>
      </c>
      <c r="E157" s="475" t="s">
        <v>68</v>
      </c>
      <c r="F157" s="475" t="s">
        <v>81</v>
      </c>
      <c r="G157" s="12" t="s">
        <v>82</v>
      </c>
      <c r="H157" s="12"/>
      <c r="I157" s="13">
        <v>14350000</v>
      </c>
      <c r="J157" s="13">
        <v>0</v>
      </c>
      <c r="K157" s="13">
        <v>0</v>
      </c>
      <c r="L157" s="13">
        <v>14350000</v>
      </c>
      <c r="M157" s="17">
        <v>0</v>
      </c>
      <c r="N157" s="20">
        <f t="shared" si="122"/>
        <v>0</v>
      </c>
      <c r="O157" s="136">
        <f t="shared" si="113"/>
        <v>0</v>
      </c>
      <c r="P157" s="20"/>
      <c r="Q157" s="472"/>
      <c r="R157" s="20"/>
      <c r="S157" s="20"/>
      <c r="T157" s="466">
        <f t="shared" si="123"/>
        <v>0</v>
      </c>
      <c r="U157" s="472" t="e">
        <f t="shared" si="115"/>
        <v>#DIV/0!</v>
      </c>
      <c r="V157" s="472">
        <f t="shared" si="117"/>
        <v>0</v>
      </c>
      <c r="W157" s="472" t="e">
        <f t="shared" si="111"/>
        <v>#DIV/0!</v>
      </c>
      <c r="X157" s="472">
        <f t="shared" si="118"/>
        <v>14350000</v>
      </c>
      <c r="Y157" s="472">
        <f t="shared" si="116"/>
        <v>100</v>
      </c>
    </row>
    <row r="158" spans="1:53" s="484" customFormat="1" ht="24">
      <c r="A158" s="481">
        <v>28</v>
      </c>
      <c r="B158" s="482">
        <v>1</v>
      </c>
      <c r="C158" s="482" t="s">
        <v>66</v>
      </c>
      <c r="D158" s="482" t="s">
        <v>93</v>
      </c>
      <c r="E158" s="482" t="s">
        <v>87</v>
      </c>
      <c r="F158" s="486" t="s">
        <v>73</v>
      </c>
      <c r="G158" s="143" t="s">
        <v>18</v>
      </c>
      <c r="H158" s="143"/>
      <c r="I158" s="144">
        <f>SUM(I159:I168)</f>
        <v>32425900</v>
      </c>
      <c r="J158" s="144">
        <f t="shared" ref="J158:N158" si="124">SUM(J159:J168)</f>
        <v>0</v>
      </c>
      <c r="K158" s="144">
        <f t="shared" si="124"/>
        <v>0</v>
      </c>
      <c r="L158" s="144">
        <f t="shared" si="124"/>
        <v>32425900</v>
      </c>
      <c r="M158" s="144">
        <f t="shared" si="124"/>
        <v>0</v>
      </c>
      <c r="N158" s="144">
        <f t="shared" si="124"/>
        <v>0</v>
      </c>
      <c r="O158" s="133">
        <f t="shared" si="113"/>
        <v>0</v>
      </c>
      <c r="P158" s="483">
        <f>SUM(P159:P168)</f>
        <v>0</v>
      </c>
      <c r="Q158" s="134">
        <f t="shared" ref="Q158:T158" si="125">SUM(Q159:Q168)</f>
        <v>0</v>
      </c>
      <c r="R158" s="134">
        <f t="shared" si="125"/>
        <v>0</v>
      </c>
      <c r="S158" s="134">
        <f t="shared" si="125"/>
        <v>0</v>
      </c>
      <c r="T158" s="134">
        <f t="shared" si="125"/>
        <v>0</v>
      </c>
      <c r="U158" s="134" t="e">
        <f t="shared" si="115"/>
        <v>#DIV/0!</v>
      </c>
      <c r="V158" s="135">
        <f t="shared" si="117"/>
        <v>0</v>
      </c>
      <c r="W158" s="134" t="e">
        <f t="shared" si="111"/>
        <v>#DIV/0!</v>
      </c>
      <c r="X158" s="135">
        <f t="shared" si="118"/>
        <v>32425900</v>
      </c>
      <c r="Y158" s="134">
        <f t="shared" si="116"/>
        <v>100</v>
      </c>
      <c r="Z158" s="540"/>
      <c r="AA158" s="540"/>
      <c r="AB158" s="540"/>
      <c r="AC158" s="540"/>
      <c r="AD158" s="540"/>
      <c r="AE158" s="540"/>
      <c r="AF158" s="540"/>
      <c r="AG158" s="540"/>
      <c r="AH158" s="540"/>
      <c r="AI158" s="540"/>
      <c r="AJ158" s="540"/>
      <c r="AK158" s="540"/>
      <c r="AL158" s="540"/>
      <c r="AM158" s="540"/>
      <c r="AN158" s="540"/>
      <c r="AO158" s="540"/>
      <c r="AP158" s="540"/>
      <c r="AQ158" s="540"/>
      <c r="AR158" s="540"/>
      <c r="AS158" s="540"/>
      <c r="AT158" s="540"/>
      <c r="AU158" s="540"/>
      <c r="AV158" s="540"/>
      <c r="AW158" s="540"/>
      <c r="AX158" s="540"/>
      <c r="AY158" s="540"/>
      <c r="AZ158" s="540"/>
      <c r="BA158" s="540"/>
    </row>
    <row r="159" spans="1:53" ht="24">
      <c r="A159" s="447"/>
      <c r="B159" s="475" t="s">
        <v>72</v>
      </c>
      <c r="C159" s="475" t="s">
        <v>73</v>
      </c>
      <c r="D159" s="475" t="s">
        <v>68</v>
      </c>
      <c r="E159" s="475" t="s">
        <v>68</v>
      </c>
      <c r="F159" s="475" t="s">
        <v>74</v>
      </c>
      <c r="G159" s="12" t="s">
        <v>178</v>
      </c>
      <c r="H159" s="12"/>
      <c r="I159" s="13">
        <v>1218900</v>
      </c>
      <c r="J159" s="13">
        <v>0</v>
      </c>
      <c r="K159" s="13">
        <v>0</v>
      </c>
      <c r="L159" s="13">
        <v>1218900</v>
      </c>
      <c r="M159" s="17">
        <v>0</v>
      </c>
      <c r="N159" s="20">
        <f>J159+K159</f>
        <v>0</v>
      </c>
      <c r="O159" s="136">
        <f t="shared" si="113"/>
        <v>0</v>
      </c>
      <c r="P159" s="20"/>
      <c r="Q159" s="472"/>
      <c r="R159" s="20"/>
      <c r="S159" s="20"/>
      <c r="T159" s="466">
        <f>P159+Q159</f>
        <v>0</v>
      </c>
      <c r="U159" s="472" t="e">
        <f t="shared" si="115"/>
        <v>#DIV/0!</v>
      </c>
      <c r="V159" s="472">
        <f t="shared" si="117"/>
        <v>0</v>
      </c>
      <c r="W159" s="472" t="e">
        <f t="shared" si="111"/>
        <v>#DIV/0!</v>
      </c>
      <c r="X159" s="472">
        <f t="shared" si="118"/>
        <v>1218900</v>
      </c>
      <c r="Y159" s="472">
        <f t="shared" si="116"/>
        <v>100</v>
      </c>
    </row>
    <row r="160" spans="1:53" ht="24">
      <c r="A160" s="447"/>
      <c r="B160" s="475" t="s">
        <v>72</v>
      </c>
      <c r="C160" s="475" t="s">
        <v>73</v>
      </c>
      <c r="D160" s="475" t="s">
        <v>68</v>
      </c>
      <c r="E160" s="475" t="s">
        <v>68</v>
      </c>
      <c r="F160" s="475" t="s">
        <v>308</v>
      </c>
      <c r="G160" s="12" t="s">
        <v>309</v>
      </c>
      <c r="H160" s="12"/>
      <c r="I160" s="13">
        <v>150000</v>
      </c>
      <c r="J160" s="13">
        <v>0</v>
      </c>
      <c r="K160" s="13">
        <v>0</v>
      </c>
      <c r="L160" s="13">
        <v>150000</v>
      </c>
      <c r="M160" s="17">
        <v>0</v>
      </c>
      <c r="N160" s="20">
        <f t="shared" ref="N160:N168" si="126">J160+K160</f>
        <v>0</v>
      </c>
      <c r="O160" s="136">
        <f t="shared" si="113"/>
        <v>0</v>
      </c>
      <c r="P160" s="20"/>
      <c r="Q160" s="472"/>
      <c r="R160" s="20"/>
      <c r="S160" s="20"/>
      <c r="T160" s="466">
        <f t="shared" ref="T160:T168" si="127">P160+Q160</f>
        <v>0</v>
      </c>
      <c r="U160" s="472" t="e">
        <f t="shared" si="115"/>
        <v>#DIV/0!</v>
      </c>
      <c r="V160" s="472">
        <f t="shared" si="117"/>
        <v>0</v>
      </c>
      <c r="W160" s="472" t="e">
        <f t="shared" si="111"/>
        <v>#DIV/0!</v>
      </c>
      <c r="X160" s="472">
        <f t="shared" si="118"/>
        <v>150000</v>
      </c>
      <c r="Y160" s="472">
        <f t="shared" si="116"/>
        <v>100</v>
      </c>
    </row>
    <row r="161" spans="1:53" ht="24">
      <c r="A161" s="447"/>
      <c r="B161" s="479" t="s">
        <v>72</v>
      </c>
      <c r="C161" s="479" t="s">
        <v>73</v>
      </c>
      <c r="D161" s="479" t="s">
        <v>68</v>
      </c>
      <c r="E161" s="479" t="s">
        <v>68</v>
      </c>
      <c r="F161" s="480" t="s">
        <v>76</v>
      </c>
      <c r="G161" s="151" t="s">
        <v>179</v>
      </c>
      <c r="H161" s="151"/>
      <c r="I161" s="14">
        <v>950000</v>
      </c>
      <c r="J161" s="14">
        <v>0</v>
      </c>
      <c r="K161" s="14">
        <v>0</v>
      </c>
      <c r="L161" s="14">
        <v>950000</v>
      </c>
      <c r="M161" s="138">
        <v>0</v>
      </c>
      <c r="N161" s="20">
        <f t="shared" si="126"/>
        <v>0</v>
      </c>
      <c r="O161" s="136">
        <f t="shared" si="113"/>
        <v>0</v>
      </c>
      <c r="P161" s="20"/>
      <c r="Q161" s="472"/>
      <c r="R161" s="20"/>
      <c r="S161" s="20"/>
      <c r="T161" s="466">
        <f t="shared" si="127"/>
        <v>0</v>
      </c>
      <c r="U161" s="472" t="e">
        <f t="shared" si="115"/>
        <v>#DIV/0!</v>
      </c>
      <c r="V161" s="472">
        <f t="shared" si="117"/>
        <v>0</v>
      </c>
      <c r="W161" s="472" t="e">
        <f t="shared" si="111"/>
        <v>#DIV/0!</v>
      </c>
      <c r="X161" s="472">
        <f t="shared" si="118"/>
        <v>950000</v>
      </c>
      <c r="Y161" s="472">
        <f t="shared" si="116"/>
        <v>100</v>
      </c>
    </row>
    <row r="162" spans="1:53" ht="24">
      <c r="A162" s="447"/>
      <c r="B162" s="475" t="s">
        <v>72</v>
      </c>
      <c r="C162" s="475" t="s">
        <v>73</v>
      </c>
      <c r="D162" s="475" t="s">
        <v>68</v>
      </c>
      <c r="E162" s="475" t="s">
        <v>68</v>
      </c>
      <c r="F162" s="475" t="s">
        <v>190</v>
      </c>
      <c r="G162" s="12" t="s">
        <v>310</v>
      </c>
      <c r="H162" s="12"/>
      <c r="I162" s="13">
        <v>532000</v>
      </c>
      <c r="J162" s="13">
        <v>0</v>
      </c>
      <c r="K162" s="13">
        <v>0</v>
      </c>
      <c r="L162" s="13">
        <v>532000</v>
      </c>
      <c r="M162" s="17">
        <v>0</v>
      </c>
      <c r="N162" s="20">
        <f t="shared" si="126"/>
        <v>0</v>
      </c>
      <c r="O162" s="136">
        <f t="shared" si="113"/>
        <v>0</v>
      </c>
      <c r="P162" s="20"/>
      <c r="Q162" s="472"/>
      <c r="R162" s="20"/>
      <c r="S162" s="20"/>
      <c r="T162" s="466">
        <f t="shared" si="127"/>
        <v>0</v>
      </c>
      <c r="U162" s="472" t="e">
        <f t="shared" si="115"/>
        <v>#DIV/0!</v>
      </c>
      <c r="V162" s="472">
        <f t="shared" si="117"/>
        <v>0</v>
      </c>
      <c r="W162" s="472" t="e">
        <f t="shared" si="111"/>
        <v>#DIV/0!</v>
      </c>
      <c r="X162" s="472">
        <f t="shared" si="118"/>
        <v>532000</v>
      </c>
      <c r="Y162" s="472">
        <f t="shared" si="116"/>
        <v>100</v>
      </c>
    </row>
    <row r="163" spans="1:53">
      <c r="A163" s="447"/>
      <c r="B163" s="475" t="s">
        <v>72</v>
      </c>
      <c r="C163" s="475" t="s">
        <v>73</v>
      </c>
      <c r="D163" s="475" t="s">
        <v>68</v>
      </c>
      <c r="E163" s="475" t="s">
        <v>68</v>
      </c>
      <c r="F163" s="475" t="s">
        <v>78</v>
      </c>
      <c r="G163" s="12" t="s">
        <v>79</v>
      </c>
      <c r="H163" s="12"/>
      <c r="I163" s="13">
        <v>2625000</v>
      </c>
      <c r="J163" s="13">
        <v>0</v>
      </c>
      <c r="K163" s="13">
        <v>0</v>
      </c>
      <c r="L163" s="13">
        <v>2625000</v>
      </c>
      <c r="M163" s="17">
        <v>0</v>
      </c>
      <c r="N163" s="20">
        <f t="shared" si="126"/>
        <v>0</v>
      </c>
      <c r="O163" s="136">
        <f t="shared" si="113"/>
        <v>0</v>
      </c>
      <c r="P163" s="20"/>
      <c r="Q163" s="472"/>
      <c r="R163" s="20"/>
      <c r="S163" s="20"/>
      <c r="T163" s="466">
        <f t="shared" si="127"/>
        <v>0</v>
      </c>
      <c r="U163" s="472" t="e">
        <f t="shared" si="115"/>
        <v>#DIV/0!</v>
      </c>
      <c r="V163" s="472">
        <f t="shared" si="117"/>
        <v>0</v>
      </c>
      <c r="W163" s="472" t="e">
        <f t="shared" si="111"/>
        <v>#DIV/0!</v>
      </c>
      <c r="X163" s="472">
        <f t="shared" si="118"/>
        <v>2625000</v>
      </c>
      <c r="Y163" s="472">
        <f t="shared" si="116"/>
        <v>100</v>
      </c>
    </row>
    <row r="164" spans="1:53">
      <c r="A164" s="447"/>
      <c r="B164" s="475" t="s">
        <v>72</v>
      </c>
      <c r="C164" s="475" t="s">
        <v>73</v>
      </c>
      <c r="D164" s="475" t="s">
        <v>68</v>
      </c>
      <c r="E164" s="475" t="s">
        <v>68</v>
      </c>
      <c r="F164" s="478" t="s">
        <v>184</v>
      </c>
      <c r="G164" s="12" t="s">
        <v>185</v>
      </c>
      <c r="H164" s="12"/>
      <c r="I164" s="13">
        <v>6500000</v>
      </c>
      <c r="J164" s="13">
        <v>0</v>
      </c>
      <c r="K164" s="13">
        <v>0</v>
      </c>
      <c r="L164" s="13">
        <v>6500000</v>
      </c>
      <c r="M164" s="17">
        <v>0</v>
      </c>
      <c r="N164" s="20">
        <f t="shared" si="126"/>
        <v>0</v>
      </c>
      <c r="O164" s="136">
        <f t="shared" si="113"/>
        <v>0</v>
      </c>
      <c r="P164" s="20"/>
      <c r="Q164" s="472"/>
      <c r="R164" s="20"/>
      <c r="S164" s="20"/>
      <c r="T164" s="466">
        <f t="shared" si="127"/>
        <v>0</v>
      </c>
      <c r="U164" s="472" t="e">
        <f t="shared" si="115"/>
        <v>#DIV/0!</v>
      </c>
      <c r="V164" s="472">
        <f t="shared" si="117"/>
        <v>0</v>
      </c>
      <c r="W164" s="472" t="e">
        <f t="shared" si="111"/>
        <v>#DIV/0!</v>
      </c>
      <c r="X164" s="472">
        <f t="shared" si="118"/>
        <v>6500000</v>
      </c>
      <c r="Y164" s="472">
        <f t="shared" si="116"/>
        <v>100</v>
      </c>
    </row>
    <row r="165" spans="1:53" ht="24">
      <c r="A165" s="447"/>
      <c r="B165" s="475" t="s">
        <v>72</v>
      </c>
      <c r="C165" s="475" t="s">
        <v>73</v>
      </c>
      <c r="D165" s="475" t="s">
        <v>73</v>
      </c>
      <c r="E165" s="475" t="s">
        <v>68</v>
      </c>
      <c r="F165" s="475" t="s">
        <v>116</v>
      </c>
      <c r="G165" s="12" t="s">
        <v>180</v>
      </c>
      <c r="H165" s="12"/>
      <c r="I165" s="13">
        <v>6000000</v>
      </c>
      <c r="J165" s="13">
        <v>0</v>
      </c>
      <c r="K165" s="13">
        <v>0</v>
      </c>
      <c r="L165" s="13">
        <v>6000000</v>
      </c>
      <c r="M165" s="17">
        <v>0</v>
      </c>
      <c r="N165" s="20">
        <f t="shared" si="126"/>
        <v>0</v>
      </c>
      <c r="O165" s="136">
        <f t="shared" si="113"/>
        <v>0</v>
      </c>
      <c r="P165" s="20"/>
      <c r="Q165" s="472"/>
      <c r="R165" s="20"/>
      <c r="S165" s="20"/>
      <c r="T165" s="466">
        <f t="shared" si="127"/>
        <v>0</v>
      </c>
      <c r="U165" s="472" t="e">
        <f t="shared" si="115"/>
        <v>#DIV/0!</v>
      </c>
      <c r="V165" s="472">
        <f t="shared" si="117"/>
        <v>0</v>
      </c>
      <c r="W165" s="472" t="e">
        <f t="shared" si="111"/>
        <v>#DIV/0!</v>
      </c>
      <c r="X165" s="472">
        <f t="shared" si="118"/>
        <v>6000000</v>
      </c>
      <c r="Y165" s="472">
        <f t="shared" si="116"/>
        <v>100</v>
      </c>
    </row>
    <row r="166" spans="1:53">
      <c r="A166" s="447"/>
      <c r="B166" s="475" t="s">
        <v>72</v>
      </c>
      <c r="C166" s="475" t="s">
        <v>73</v>
      </c>
      <c r="D166" s="475" t="s">
        <v>73</v>
      </c>
      <c r="E166" s="475" t="s">
        <v>80</v>
      </c>
      <c r="F166" s="475" t="s">
        <v>162</v>
      </c>
      <c r="G166" s="12" t="s">
        <v>323</v>
      </c>
      <c r="H166" s="12"/>
      <c r="I166" s="13">
        <v>880000</v>
      </c>
      <c r="J166" s="13">
        <v>0</v>
      </c>
      <c r="K166" s="13">
        <v>0</v>
      </c>
      <c r="L166" s="13">
        <v>880000</v>
      </c>
      <c r="M166" s="17">
        <v>0</v>
      </c>
      <c r="N166" s="20">
        <f t="shared" si="126"/>
        <v>0</v>
      </c>
      <c r="O166" s="136">
        <f t="shared" si="113"/>
        <v>0</v>
      </c>
      <c r="P166" s="20"/>
      <c r="Q166" s="472"/>
      <c r="R166" s="20"/>
      <c r="S166" s="20"/>
      <c r="T166" s="466">
        <f t="shared" si="127"/>
        <v>0</v>
      </c>
      <c r="U166" s="472" t="e">
        <f t="shared" si="115"/>
        <v>#DIV/0!</v>
      </c>
      <c r="V166" s="472">
        <f t="shared" si="117"/>
        <v>0</v>
      </c>
      <c r="W166" s="472" t="e">
        <f t="shared" si="111"/>
        <v>#DIV/0!</v>
      </c>
      <c r="X166" s="472">
        <f t="shared" si="118"/>
        <v>880000</v>
      </c>
      <c r="Y166" s="472">
        <f t="shared" si="116"/>
        <v>100</v>
      </c>
    </row>
    <row r="167" spans="1:53">
      <c r="A167" s="447"/>
      <c r="B167" s="475" t="s">
        <v>72</v>
      </c>
      <c r="C167" s="475" t="s">
        <v>73</v>
      </c>
      <c r="D167" s="475" t="s">
        <v>73</v>
      </c>
      <c r="E167" s="475" t="s">
        <v>66</v>
      </c>
      <c r="F167" s="478" t="s">
        <v>182</v>
      </c>
      <c r="G167" s="12" t="s">
        <v>183</v>
      </c>
      <c r="H167" s="12"/>
      <c r="I167" s="13">
        <v>6100000</v>
      </c>
      <c r="J167" s="13">
        <v>0</v>
      </c>
      <c r="K167" s="13">
        <v>0</v>
      </c>
      <c r="L167" s="13">
        <v>6100000</v>
      </c>
      <c r="M167" s="17">
        <v>0</v>
      </c>
      <c r="N167" s="20">
        <f t="shared" si="126"/>
        <v>0</v>
      </c>
      <c r="O167" s="136">
        <f t="shared" si="113"/>
        <v>0</v>
      </c>
      <c r="P167" s="20"/>
      <c r="Q167" s="472"/>
      <c r="R167" s="20"/>
      <c r="S167" s="20"/>
      <c r="T167" s="466">
        <f t="shared" si="127"/>
        <v>0</v>
      </c>
      <c r="U167" s="472" t="e">
        <f t="shared" si="115"/>
        <v>#DIV/0!</v>
      </c>
      <c r="V167" s="472">
        <f t="shared" si="117"/>
        <v>0</v>
      </c>
      <c r="W167" s="472" t="e">
        <f t="shared" si="111"/>
        <v>#DIV/0!</v>
      </c>
      <c r="X167" s="472">
        <f t="shared" si="118"/>
        <v>6100000</v>
      </c>
      <c r="Y167" s="472">
        <f t="shared" si="116"/>
        <v>100</v>
      </c>
    </row>
    <row r="168" spans="1:53">
      <c r="A168" s="447"/>
      <c r="B168" s="475" t="s">
        <v>72</v>
      </c>
      <c r="C168" s="475" t="s">
        <v>73</v>
      </c>
      <c r="D168" s="475" t="s">
        <v>80</v>
      </c>
      <c r="E168" s="475" t="s">
        <v>68</v>
      </c>
      <c r="F168" s="475" t="s">
        <v>81</v>
      </c>
      <c r="G168" s="12" t="s">
        <v>82</v>
      </c>
      <c r="H168" s="12"/>
      <c r="I168" s="13">
        <v>7470000</v>
      </c>
      <c r="J168" s="13">
        <v>0</v>
      </c>
      <c r="K168" s="13">
        <v>0</v>
      </c>
      <c r="L168" s="13">
        <v>7470000</v>
      </c>
      <c r="M168" s="17">
        <v>0</v>
      </c>
      <c r="N168" s="20">
        <f t="shared" si="126"/>
        <v>0</v>
      </c>
      <c r="O168" s="136">
        <f t="shared" si="113"/>
        <v>0</v>
      </c>
      <c r="P168" s="20"/>
      <c r="Q168" s="472"/>
      <c r="R168" s="20"/>
      <c r="S168" s="20"/>
      <c r="T168" s="466">
        <f t="shared" si="127"/>
        <v>0</v>
      </c>
      <c r="U168" s="472" t="e">
        <f t="shared" si="115"/>
        <v>#DIV/0!</v>
      </c>
      <c r="V168" s="472">
        <f t="shared" si="117"/>
        <v>0</v>
      </c>
      <c r="W168" s="472" t="e">
        <f t="shared" si="111"/>
        <v>#DIV/0!</v>
      </c>
      <c r="X168" s="472">
        <f t="shared" si="118"/>
        <v>7470000</v>
      </c>
      <c r="Y168" s="472">
        <f t="shared" si="116"/>
        <v>100</v>
      </c>
    </row>
    <row r="169" spans="1:53" s="484" customFormat="1" ht="36">
      <c r="A169" s="494">
        <v>29</v>
      </c>
      <c r="B169" s="482">
        <v>1</v>
      </c>
      <c r="C169" s="482" t="s">
        <v>66</v>
      </c>
      <c r="D169" s="486" t="s">
        <v>93</v>
      </c>
      <c r="E169" s="486" t="s">
        <v>87</v>
      </c>
      <c r="F169" s="482" t="s">
        <v>93</v>
      </c>
      <c r="G169" s="143" t="s">
        <v>186</v>
      </c>
      <c r="H169" s="147" t="s">
        <v>324</v>
      </c>
      <c r="I169" s="144">
        <f>SUM(I170:I171)</f>
        <v>94830000</v>
      </c>
      <c r="J169" s="144">
        <f t="shared" ref="J169:N169" si="128">SUM(J170:J171)</f>
        <v>0</v>
      </c>
      <c r="K169" s="144">
        <f t="shared" si="128"/>
        <v>94830000</v>
      </c>
      <c r="L169" s="144">
        <f t="shared" si="128"/>
        <v>0</v>
      </c>
      <c r="M169" s="144">
        <f t="shared" si="128"/>
        <v>0</v>
      </c>
      <c r="N169" s="144">
        <f t="shared" si="128"/>
        <v>94830000</v>
      </c>
      <c r="O169" s="133">
        <f t="shared" si="113"/>
        <v>100</v>
      </c>
      <c r="P169" s="483">
        <f>SUM(P170:P171)</f>
        <v>0</v>
      </c>
      <c r="Q169" s="134">
        <f t="shared" ref="Q169:T169" si="129">SUM(Q170:Q171)</f>
        <v>0</v>
      </c>
      <c r="R169" s="134">
        <f t="shared" si="129"/>
        <v>0</v>
      </c>
      <c r="S169" s="134">
        <f t="shared" si="129"/>
        <v>0</v>
      </c>
      <c r="T169" s="134">
        <f t="shared" si="129"/>
        <v>0</v>
      </c>
      <c r="U169" s="134">
        <f t="shared" si="115"/>
        <v>0</v>
      </c>
      <c r="V169" s="135">
        <f t="shared" si="117"/>
        <v>94830000</v>
      </c>
      <c r="W169" s="134">
        <f t="shared" si="111"/>
        <v>100</v>
      </c>
      <c r="X169" s="135">
        <f t="shared" si="118"/>
        <v>94830000</v>
      </c>
      <c r="Y169" s="134">
        <f t="shared" si="116"/>
        <v>100</v>
      </c>
      <c r="Z169" s="540"/>
      <c r="AA169" s="540"/>
      <c r="AB169" s="540"/>
      <c r="AC169" s="540"/>
      <c r="AD169" s="540"/>
      <c r="AE169" s="540"/>
      <c r="AF169" s="540"/>
      <c r="AG169" s="540"/>
      <c r="AH169" s="540"/>
      <c r="AI169" s="540"/>
      <c r="AJ169" s="540"/>
      <c r="AK169" s="540"/>
      <c r="AL169" s="540"/>
      <c r="AM169" s="540"/>
      <c r="AN169" s="540"/>
      <c r="AO169" s="540"/>
      <c r="AP169" s="540"/>
      <c r="AQ169" s="540"/>
      <c r="AR169" s="540"/>
      <c r="AS169" s="540"/>
      <c r="AT169" s="540"/>
      <c r="AU169" s="540"/>
      <c r="AV169" s="540"/>
      <c r="AW169" s="540"/>
      <c r="AX169" s="540"/>
      <c r="AY169" s="540"/>
      <c r="AZ169" s="540"/>
      <c r="BA169" s="540"/>
    </row>
    <row r="170" spans="1:53" ht="24">
      <c r="A170" s="485"/>
      <c r="B170" s="511">
        <v>5.2</v>
      </c>
      <c r="C170" s="511" t="s">
        <v>73</v>
      </c>
      <c r="D170" s="511" t="s">
        <v>73</v>
      </c>
      <c r="E170" s="512" t="s">
        <v>80</v>
      </c>
      <c r="F170" s="512" t="s">
        <v>116</v>
      </c>
      <c r="G170" s="12" t="s">
        <v>325</v>
      </c>
      <c r="H170" s="12"/>
      <c r="I170" s="13">
        <v>76830000</v>
      </c>
      <c r="J170" s="13">
        <v>0</v>
      </c>
      <c r="K170" s="13">
        <v>76830000</v>
      </c>
      <c r="L170" s="13">
        <v>0</v>
      </c>
      <c r="M170" s="17">
        <v>0</v>
      </c>
      <c r="N170" s="20">
        <f>J170+K170</f>
        <v>76830000</v>
      </c>
      <c r="O170" s="136">
        <f t="shared" si="113"/>
        <v>100</v>
      </c>
      <c r="P170" s="20">
        <f>SUM(P171:P175)</f>
        <v>0</v>
      </c>
      <c r="Q170" s="472"/>
      <c r="R170" s="20"/>
      <c r="S170" s="20"/>
      <c r="T170" s="466">
        <f>P170+Q170</f>
        <v>0</v>
      </c>
      <c r="U170" s="472">
        <f t="shared" si="115"/>
        <v>0</v>
      </c>
      <c r="V170" s="472">
        <f t="shared" si="117"/>
        <v>76830000</v>
      </c>
      <c r="W170" s="472">
        <f t="shared" si="111"/>
        <v>100</v>
      </c>
      <c r="X170" s="472">
        <f t="shared" si="118"/>
        <v>76830000</v>
      </c>
      <c r="Y170" s="472">
        <f t="shared" si="116"/>
        <v>100</v>
      </c>
    </row>
    <row r="171" spans="1:53">
      <c r="A171" s="447"/>
      <c r="B171" s="475">
        <v>5.2</v>
      </c>
      <c r="C171" s="478" t="s">
        <v>73</v>
      </c>
      <c r="D171" s="475" t="s">
        <v>326</v>
      </c>
      <c r="E171" s="478" t="s">
        <v>73</v>
      </c>
      <c r="F171" s="478" t="s">
        <v>319</v>
      </c>
      <c r="G171" s="12" t="s">
        <v>327</v>
      </c>
      <c r="H171" s="12"/>
      <c r="I171" s="13">
        <v>18000000</v>
      </c>
      <c r="J171" s="13">
        <v>0</v>
      </c>
      <c r="K171" s="13">
        <v>18000000</v>
      </c>
      <c r="L171" s="13">
        <v>0</v>
      </c>
      <c r="M171" s="17">
        <v>0</v>
      </c>
      <c r="N171" s="20">
        <f>J171+K171</f>
        <v>18000000</v>
      </c>
      <c r="O171" s="136">
        <f t="shared" si="113"/>
        <v>100</v>
      </c>
      <c r="P171" s="20"/>
      <c r="Q171" s="472"/>
      <c r="R171" s="20"/>
      <c r="S171" s="20"/>
      <c r="T171" s="466">
        <f>P171+Q171</f>
        <v>0</v>
      </c>
      <c r="U171" s="472">
        <f t="shared" si="115"/>
        <v>0</v>
      </c>
      <c r="V171" s="472">
        <f t="shared" si="117"/>
        <v>18000000</v>
      </c>
      <c r="W171" s="472">
        <f t="shared" si="111"/>
        <v>100</v>
      </c>
      <c r="X171" s="472">
        <f t="shared" si="118"/>
        <v>18000000</v>
      </c>
      <c r="Y171" s="472">
        <f t="shared" si="116"/>
        <v>100</v>
      </c>
    </row>
    <row r="172" spans="1:53" s="484" customFormat="1" ht="24">
      <c r="A172" s="481">
        <v>30</v>
      </c>
      <c r="B172" s="482">
        <v>1</v>
      </c>
      <c r="C172" s="482" t="s">
        <v>66</v>
      </c>
      <c r="D172" s="482" t="s">
        <v>93</v>
      </c>
      <c r="E172" s="482" t="s">
        <v>87</v>
      </c>
      <c r="F172" s="486" t="s">
        <v>97</v>
      </c>
      <c r="G172" s="143" t="s">
        <v>23</v>
      </c>
      <c r="H172" s="143"/>
      <c r="I172" s="144">
        <f>SUM(I173:I181)</f>
        <v>34912800</v>
      </c>
      <c r="J172" s="144">
        <f t="shared" ref="J172:N172" si="130">SUM(J173:J181)</f>
        <v>0</v>
      </c>
      <c r="K172" s="144">
        <f t="shared" si="130"/>
        <v>0</v>
      </c>
      <c r="L172" s="144">
        <f t="shared" si="130"/>
        <v>34912800</v>
      </c>
      <c r="M172" s="144">
        <f t="shared" si="130"/>
        <v>0</v>
      </c>
      <c r="N172" s="144">
        <f t="shared" si="130"/>
        <v>0</v>
      </c>
      <c r="O172" s="133">
        <f t="shared" si="113"/>
        <v>0</v>
      </c>
      <c r="P172" s="483">
        <f>SUM(P173:P181)</f>
        <v>0</v>
      </c>
      <c r="Q172" s="134">
        <f t="shared" ref="Q172:T172" si="131">SUM(Q173:Q181)</f>
        <v>0</v>
      </c>
      <c r="R172" s="134">
        <f t="shared" si="131"/>
        <v>0</v>
      </c>
      <c r="S172" s="134">
        <f t="shared" si="131"/>
        <v>0</v>
      </c>
      <c r="T172" s="134">
        <f t="shared" si="131"/>
        <v>0</v>
      </c>
      <c r="U172" s="134" t="e">
        <f t="shared" si="115"/>
        <v>#DIV/0!</v>
      </c>
      <c r="V172" s="135">
        <f t="shared" si="117"/>
        <v>0</v>
      </c>
      <c r="W172" s="134" t="e">
        <f t="shared" si="111"/>
        <v>#DIV/0!</v>
      </c>
      <c r="X172" s="135">
        <f t="shared" si="118"/>
        <v>34912800</v>
      </c>
      <c r="Y172" s="134">
        <f t="shared" si="116"/>
        <v>100</v>
      </c>
      <c r="Z172" s="540"/>
      <c r="AA172" s="540"/>
      <c r="AB172" s="540"/>
      <c r="AC172" s="540"/>
      <c r="AD172" s="540"/>
      <c r="AE172" s="540"/>
      <c r="AF172" s="540"/>
      <c r="AG172" s="540"/>
      <c r="AH172" s="540"/>
      <c r="AI172" s="540"/>
      <c r="AJ172" s="540"/>
      <c r="AK172" s="540"/>
      <c r="AL172" s="540"/>
      <c r="AM172" s="540"/>
      <c r="AN172" s="540"/>
      <c r="AO172" s="540"/>
      <c r="AP172" s="540"/>
      <c r="AQ172" s="540"/>
      <c r="AR172" s="540"/>
      <c r="AS172" s="540"/>
      <c r="AT172" s="540"/>
      <c r="AU172" s="540"/>
      <c r="AV172" s="540"/>
      <c r="AW172" s="540"/>
      <c r="AX172" s="540"/>
      <c r="AY172" s="540"/>
      <c r="AZ172" s="540"/>
      <c r="BA172" s="540"/>
    </row>
    <row r="173" spans="1:53" ht="24">
      <c r="A173" s="447"/>
      <c r="B173" s="475" t="s">
        <v>72</v>
      </c>
      <c r="C173" s="478" t="s">
        <v>73</v>
      </c>
      <c r="D173" s="475" t="s">
        <v>68</v>
      </c>
      <c r="E173" s="478" t="s">
        <v>68</v>
      </c>
      <c r="F173" s="478" t="s">
        <v>74</v>
      </c>
      <c r="G173" s="12" t="s">
        <v>178</v>
      </c>
      <c r="H173" s="12"/>
      <c r="I173" s="13">
        <v>844300</v>
      </c>
      <c r="J173" s="13">
        <v>0</v>
      </c>
      <c r="K173" s="13">
        <v>0</v>
      </c>
      <c r="L173" s="13">
        <v>844300</v>
      </c>
      <c r="M173" s="17">
        <v>0</v>
      </c>
      <c r="N173" s="20">
        <f>J173+K173</f>
        <v>0</v>
      </c>
      <c r="O173" s="136">
        <f t="shared" si="113"/>
        <v>0</v>
      </c>
      <c r="P173" s="20"/>
      <c r="Q173" s="472"/>
      <c r="R173" s="20"/>
      <c r="S173" s="20"/>
      <c r="T173" s="466">
        <f>P173+Q173</f>
        <v>0</v>
      </c>
      <c r="U173" s="472" t="e">
        <f t="shared" si="115"/>
        <v>#DIV/0!</v>
      </c>
      <c r="V173" s="472">
        <f t="shared" si="117"/>
        <v>0</v>
      </c>
      <c r="W173" s="472" t="e">
        <f t="shared" si="111"/>
        <v>#DIV/0!</v>
      </c>
      <c r="X173" s="472">
        <f t="shared" si="118"/>
        <v>844300</v>
      </c>
      <c r="Y173" s="472">
        <f t="shared" si="116"/>
        <v>100</v>
      </c>
    </row>
    <row r="174" spans="1:53" ht="24">
      <c r="A174" s="447"/>
      <c r="B174" s="475" t="s">
        <v>72</v>
      </c>
      <c r="C174" s="478" t="s">
        <v>73</v>
      </c>
      <c r="D174" s="478" t="s">
        <v>68</v>
      </c>
      <c r="E174" s="478" t="s">
        <v>68</v>
      </c>
      <c r="F174" s="478" t="s">
        <v>308</v>
      </c>
      <c r="G174" s="12" t="s">
        <v>309</v>
      </c>
      <c r="H174" s="12"/>
      <c r="I174" s="13">
        <v>116500</v>
      </c>
      <c r="J174" s="13">
        <v>0</v>
      </c>
      <c r="K174" s="13">
        <v>0</v>
      </c>
      <c r="L174" s="13">
        <v>116500</v>
      </c>
      <c r="M174" s="17">
        <v>0</v>
      </c>
      <c r="N174" s="20">
        <f t="shared" ref="N174:N181" si="132">J174+K174</f>
        <v>0</v>
      </c>
      <c r="O174" s="136">
        <f t="shared" si="113"/>
        <v>0</v>
      </c>
      <c r="P174" s="20"/>
      <c r="Q174" s="472"/>
      <c r="R174" s="20"/>
      <c r="S174" s="20"/>
      <c r="T174" s="466">
        <f t="shared" ref="T174:T181" si="133">P174+Q174</f>
        <v>0</v>
      </c>
      <c r="U174" s="472" t="e">
        <f t="shared" si="115"/>
        <v>#DIV/0!</v>
      </c>
      <c r="V174" s="472">
        <f t="shared" si="117"/>
        <v>0</v>
      </c>
      <c r="W174" s="472" t="e">
        <f t="shared" si="111"/>
        <v>#DIV/0!</v>
      </c>
      <c r="X174" s="472">
        <f t="shared" si="118"/>
        <v>116500</v>
      </c>
      <c r="Y174" s="472">
        <f t="shared" si="116"/>
        <v>100</v>
      </c>
    </row>
    <row r="175" spans="1:53">
      <c r="A175" s="447"/>
      <c r="B175" s="475" t="s">
        <v>72</v>
      </c>
      <c r="C175" s="475" t="s">
        <v>73</v>
      </c>
      <c r="D175" s="475" t="s">
        <v>68</v>
      </c>
      <c r="E175" s="475" t="s">
        <v>68</v>
      </c>
      <c r="F175" s="475" t="s">
        <v>76</v>
      </c>
      <c r="G175" s="12" t="s">
        <v>179</v>
      </c>
      <c r="H175" s="12"/>
      <c r="I175" s="13">
        <v>780000</v>
      </c>
      <c r="J175" s="13">
        <v>0</v>
      </c>
      <c r="K175" s="13">
        <v>0</v>
      </c>
      <c r="L175" s="13">
        <v>780000</v>
      </c>
      <c r="M175" s="17">
        <v>0</v>
      </c>
      <c r="N175" s="20">
        <f t="shared" si="132"/>
        <v>0</v>
      </c>
      <c r="O175" s="136">
        <f t="shared" si="113"/>
        <v>0</v>
      </c>
      <c r="P175" s="20"/>
      <c r="Q175" s="472"/>
      <c r="R175" s="20"/>
      <c r="S175" s="20"/>
      <c r="T175" s="466">
        <f t="shared" si="133"/>
        <v>0</v>
      </c>
      <c r="U175" s="472" t="e">
        <f t="shared" si="115"/>
        <v>#DIV/0!</v>
      </c>
      <c r="V175" s="472">
        <f t="shared" si="117"/>
        <v>0</v>
      </c>
      <c r="W175" s="472" t="e">
        <f t="shared" si="111"/>
        <v>#DIV/0!</v>
      </c>
      <c r="X175" s="472">
        <f t="shared" si="118"/>
        <v>780000</v>
      </c>
      <c r="Y175" s="472">
        <f t="shared" si="116"/>
        <v>100</v>
      </c>
    </row>
    <row r="176" spans="1:53" ht="24">
      <c r="A176" s="485"/>
      <c r="B176" s="513" t="s">
        <v>72</v>
      </c>
      <c r="C176" s="513" t="s">
        <v>73</v>
      </c>
      <c r="D176" s="513" t="s">
        <v>68</v>
      </c>
      <c r="E176" s="513" t="s">
        <v>68</v>
      </c>
      <c r="F176" s="514" t="s">
        <v>190</v>
      </c>
      <c r="G176" s="15" t="s">
        <v>310</v>
      </c>
      <c r="H176" s="15"/>
      <c r="I176" s="21">
        <v>162000</v>
      </c>
      <c r="J176" s="21">
        <v>0</v>
      </c>
      <c r="K176" s="21">
        <v>0</v>
      </c>
      <c r="L176" s="21">
        <v>162000</v>
      </c>
      <c r="M176" s="152">
        <v>0</v>
      </c>
      <c r="N176" s="20">
        <f t="shared" si="132"/>
        <v>0</v>
      </c>
      <c r="O176" s="136">
        <f t="shared" si="113"/>
        <v>0</v>
      </c>
      <c r="P176" s="20"/>
      <c r="Q176" s="472"/>
      <c r="R176" s="20"/>
      <c r="S176" s="20"/>
      <c r="T176" s="466">
        <f t="shared" si="133"/>
        <v>0</v>
      </c>
      <c r="U176" s="472" t="e">
        <f t="shared" si="115"/>
        <v>#DIV/0!</v>
      </c>
      <c r="V176" s="472">
        <f t="shared" si="117"/>
        <v>0</v>
      </c>
      <c r="W176" s="472" t="e">
        <f t="shared" si="111"/>
        <v>#DIV/0!</v>
      </c>
      <c r="X176" s="472">
        <f t="shared" si="118"/>
        <v>162000</v>
      </c>
      <c r="Y176" s="472">
        <f t="shared" si="116"/>
        <v>100</v>
      </c>
    </row>
    <row r="177" spans="1:53">
      <c r="A177" s="447"/>
      <c r="B177" s="475" t="s">
        <v>72</v>
      </c>
      <c r="C177" s="475" t="s">
        <v>73</v>
      </c>
      <c r="D177" s="475" t="s">
        <v>68</v>
      </c>
      <c r="E177" s="475" t="s">
        <v>68</v>
      </c>
      <c r="F177" s="475" t="s">
        <v>78</v>
      </c>
      <c r="G177" s="12" t="s">
        <v>79</v>
      </c>
      <c r="H177" s="12"/>
      <c r="I177" s="13">
        <v>7350000</v>
      </c>
      <c r="J177" s="13">
        <v>0</v>
      </c>
      <c r="K177" s="13">
        <v>0</v>
      </c>
      <c r="L177" s="13">
        <v>7350000</v>
      </c>
      <c r="M177" s="17">
        <v>0</v>
      </c>
      <c r="N177" s="20">
        <f t="shared" si="132"/>
        <v>0</v>
      </c>
      <c r="O177" s="136">
        <f t="shared" si="113"/>
        <v>0</v>
      </c>
      <c r="P177" s="20"/>
      <c r="Q177" s="472"/>
      <c r="R177" s="20"/>
      <c r="S177" s="20"/>
      <c r="T177" s="466">
        <f t="shared" si="133"/>
        <v>0</v>
      </c>
      <c r="U177" s="472" t="e">
        <f t="shared" si="115"/>
        <v>#DIV/0!</v>
      </c>
      <c r="V177" s="472">
        <f t="shared" si="117"/>
        <v>0</v>
      </c>
      <c r="W177" s="472" t="e">
        <f t="shared" si="111"/>
        <v>#DIV/0!</v>
      </c>
      <c r="X177" s="472">
        <f t="shared" si="118"/>
        <v>7350000</v>
      </c>
      <c r="Y177" s="472">
        <f t="shared" si="116"/>
        <v>100</v>
      </c>
    </row>
    <row r="178" spans="1:53" ht="24">
      <c r="A178" s="447"/>
      <c r="B178" s="475" t="s">
        <v>72</v>
      </c>
      <c r="C178" s="478" t="s">
        <v>73</v>
      </c>
      <c r="D178" s="475" t="s">
        <v>73</v>
      </c>
      <c r="E178" s="478" t="s">
        <v>68</v>
      </c>
      <c r="F178" s="478" t="s">
        <v>116</v>
      </c>
      <c r="G178" s="12" t="s">
        <v>180</v>
      </c>
      <c r="H178" s="12"/>
      <c r="I178" s="13">
        <v>16250000</v>
      </c>
      <c r="J178" s="13">
        <v>0</v>
      </c>
      <c r="K178" s="13">
        <v>0</v>
      </c>
      <c r="L178" s="13">
        <v>16250000</v>
      </c>
      <c r="M178" s="17">
        <v>0</v>
      </c>
      <c r="N178" s="20">
        <f t="shared" si="132"/>
        <v>0</v>
      </c>
      <c r="O178" s="136">
        <f t="shared" si="113"/>
        <v>0</v>
      </c>
      <c r="P178" s="20"/>
      <c r="Q178" s="472"/>
      <c r="R178" s="20"/>
      <c r="S178" s="20"/>
      <c r="T178" s="466">
        <f t="shared" si="133"/>
        <v>0</v>
      </c>
      <c r="U178" s="472" t="e">
        <f t="shared" si="115"/>
        <v>#DIV/0!</v>
      </c>
      <c r="V178" s="472">
        <f t="shared" si="117"/>
        <v>0</v>
      </c>
      <c r="W178" s="472" t="e">
        <f t="shared" si="111"/>
        <v>#DIV/0!</v>
      </c>
      <c r="X178" s="472">
        <f t="shared" si="118"/>
        <v>16250000</v>
      </c>
      <c r="Y178" s="472">
        <f t="shared" si="116"/>
        <v>100</v>
      </c>
    </row>
    <row r="179" spans="1:53">
      <c r="A179" s="447"/>
      <c r="B179" s="475" t="s">
        <v>72</v>
      </c>
      <c r="C179" s="475" t="s">
        <v>73</v>
      </c>
      <c r="D179" s="475" t="s">
        <v>73</v>
      </c>
      <c r="E179" s="475" t="s">
        <v>80</v>
      </c>
      <c r="F179" s="478" t="s">
        <v>162</v>
      </c>
      <c r="G179" s="12" t="s">
        <v>323</v>
      </c>
      <c r="H179" s="12"/>
      <c r="I179" s="13">
        <v>1380000</v>
      </c>
      <c r="J179" s="13">
        <v>0</v>
      </c>
      <c r="K179" s="13">
        <v>0</v>
      </c>
      <c r="L179" s="13">
        <v>1380000</v>
      </c>
      <c r="M179" s="17">
        <v>0</v>
      </c>
      <c r="N179" s="20">
        <f t="shared" si="132"/>
        <v>0</v>
      </c>
      <c r="O179" s="136">
        <f t="shared" si="113"/>
        <v>0</v>
      </c>
      <c r="P179" s="20"/>
      <c r="Q179" s="472"/>
      <c r="R179" s="20"/>
      <c r="S179" s="20"/>
      <c r="T179" s="466">
        <f t="shared" si="133"/>
        <v>0</v>
      </c>
      <c r="U179" s="472" t="e">
        <f t="shared" si="115"/>
        <v>#DIV/0!</v>
      </c>
      <c r="V179" s="472">
        <f t="shared" si="117"/>
        <v>0</v>
      </c>
      <c r="W179" s="472" t="e">
        <f t="shared" si="111"/>
        <v>#DIV/0!</v>
      </c>
      <c r="X179" s="472">
        <f t="shared" si="118"/>
        <v>1380000</v>
      </c>
      <c r="Y179" s="472">
        <f t="shared" si="116"/>
        <v>100</v>
      </c>
    </row>
    <row r="180" spans="1:53">
      <c r="A180" s="447"/>
      <c r="B180" s="475" t="s">
        <v>72</v>
      </c>
      <c r="C180" s="478" t="s">
        <v>73</v>
      </c>
      <c r="D180" s="475" t="s">
        <v>73</v>
      </c>
      <c r="E180" s="478" t="s">
        <v>66</v>
      </c>
      <c r="F180" s="478" t="s">
        <v>182</v>
      </c>
      <c r="G180" s="12" t="s">
        <v>183</v>
      </c>
      <c r="H180" s="12"/>
      <c r="I180" s="13">
        <v>3600000</v>
      </c>
      <c r="J180" s="13">
        <v>0</v>
      </c>
      <c r="K180" s="13">
        <v>0</v>
      </c>
      <c r="L180" s="13">
        <v>3600000</v>
      </c>
      <c r="M180" s="17">
        <v>0</v>
      </c>
      <c r="N180" s="20">
        <f t="shared" si="132"/>
        <v>0</v>
      </c>
      <c r="O180" s="136">
        <f t="shared" si="113"/>
        <v>0</v>
      </c>
      <c r="P180" s="20"/>
      <c r="Q180" s="472"/>
      <c r="R180" s="20"/>
      <c r="S180" s="20"/>
      <c r="T180" s="466">
        <f t="shared" si="133"/>
        <v>0</v>
      </c>
      <c r="U180" s="472" t="e">
        <f t="shared" si="115"/>
        <v>#DIV/0!</v>
      </c>
      <c r="V180" s="472">
        <f t="shared" si="117"/>
        <v>0</v>
      </c>
      <c r="W180" s="472" t="e">
        <f t="shared" si="111"/>
        <v>#DIV/0!</v>
      </c>
      <c r="X180" s="472">
        <f t="shared" si="118"/>
        <v>3600000</v>
      </c>
      <c r="Y180" s="472">
        <f t="shared" si="116"/>
        <v>100</v>
      </c>
    </row>
    <row r="181" spans="1:53">
      <c r="A181" s="447"/>
      <c r="B181" s="475" t="s">
        <v>72</v>
      </c>
      <c r="C181" s="475" t="s">
        <v>73</v>
      </c>
      <c r="D181" s="475" t="s">
        <v>80</v>
      </c>
      <c r="E181" s="475" t="s">
        <v>68</v>
      </c>
      <c r="F181" s="475" t="s">
        <v>81</v>
      </c>
      <c r="G181" s="12" t="s">
        <v>82</v>
      </c>
      <c r="H181" s="12"/>
      <c r="I181" s="13">
        <v>4430000</v>
      </c>
      <c r="J181" s="13">
        <v>0</v>
      </c>
      <c r="K181" s="13">
        <v>0</v>
      </c>
      <c r="L181" s="13">
        <v>4430000</v>
      </c>
      <c r="M181" s="17">
        <v>0</v>
      </c>
      <c r="N181" s="20">
        <f t="shared" si="132"/>
        <v>0</v>
      </c>
      <c r="O181" s="136">
        <f t="shared" si="113"/>
        <v>0</v>
      </c>
      <c r="P181" s="20"/>
      <c r="Q181" s="472"/>
      <c r="R181" s="20"/>
      <c r="S181" s="20"/>
      <c r="T181" s="466">
        <f t="shared" si="133"/>
        <v>0</v>
      </c>
      <c r="U181" s="472" t="e">
        <f t="shared" si="115"/>
        <v>#DIV/0!</v>
      </c>
      <c r="V181" s="472">
        <f t="shared" si="117"/>
        <v>0</v>
      </c>
      <c r="W181" s="472" t="e">
        <f t="shared" si="111"/>
        <v>#DIV/0!</v>
      </c>
      <c r="X181" s="472">
        <f t="shared" si="118"/>
        <v>4430000</v>
      </c>
      <c r="Y181" s="472">
        <f t="shared" si="116"/>
        <v>100</v>
      </c>
    </row>
    <row r="182" spans="1:53" s="484" customFormat="1" ht="24">
      <c r="A182" s="494">
        <v>31</v>
      </c>
      <c r="B182" s="515">
        <v>1</v>
      </c>
      <c r="C182" s="515" t="s">
        <v>66</v>
      </c>
      <c r="D182" s="515" t="s">
        <v>93</v>
      </c>
      <c r="E182" s="515" t="s">
        <v>87</v>
      </c>
      <c r="F182" s="516" t="s">
        <v>100</v>
      </c>
      <c r="G182" s="143" t="s">
        <v>22</v>
      </c>
      <c r="H182" s="143"/>
      <c r="I182" s="144">
        <f>SUM(I183:I192)</f>
        <v>29890000</v>
      </c>
      <c r="J182" s="144">
        <f t="shared" ref="J182:N182" si="134">SUM(J183:J192)</f>
        <v>0</v>
      </c>
      <c r="K182" s="144">
        <f t="shared" si="134"/>
        <v>29890000</v>
      </c>
      <c r="L182" s="144">
        <f t="shared" si="134"/>
        <v>0</v>
      </c>
      <c r="M182" s="144">
        <f t="shared" si="134"/>
        <v>0</v>
      </c>
      <c r="N182" s="144">
        <f t="shared" si="134"/>
        <v>29890000</v>
      </c>
      <c r="O182" s="133">
        <f t="shared" si="113"/>
        <v>100</v>
      </c>
      <c r="P182" s="483">
        <f>SUM(P183:P192)</f>
        <v>0</v>
      </c>
      <c r="Q182" s="134">
        <f t="shared" ref="Q182:T182" si="135">SUM(Q183:Q192)</f>
        <v>0</v>
      </c>
      <c r="R182" s="134">
        <f t="shared" si="135"/>
        <v>0</v>
      </c>
      <c r="S182" s="134">
        <f t="shared" si="135"/>
        <v>0</v>
      </c>
      <c r="T182" s="134">
        <f t="shared" si="135"/>
        <v>0</v>
      </c>
      <c r="U182" s="134">
        <f t="shared" si="115"/>
        <v>0</v>
      </c>
      <c r="V182" s="135">
        <f t="shared" si="117"/>
        <v>29890000</v>
      </c>
      <c r="W182" s="134">
        <f t="shared" si="111"/>
        <v>100</v>
      </c>
      <c r="X182" s="135">
        <f t="shared" si="118"/>
        <v>29890000</v>
      </c>
      <c r="Y182" s="134">
        <f t="shared" si="116"/>
        <v>100</v>
      </c>
      <c r="Z182" s="540"/>
      <c r="AA182" s="540"/>
      <c r="AB182" s="540"/>
      <c r="AC182" s="540"/>
      <c r="AD182" s="540"/>
      <c r="AE182" s="540"/>
      <c r="AF182" s="540"/>
      <c r="AG182" s="540"/>
      <c r="AH182" s="540"/>
      <c r="AI182" s="540"/>
      <c r="AJ182" s="540"/>
      <c r="AK182" s="540"/>
      <c r="AL182" s="540"/>
      <c r="AM182" s="540"/>
      <c r="AN182" s="540"/>
      <c r="AO182" s="540"/>
      <c r="AP182" s="540"/>
      <c r="AQ182" s="540"/>
      <c r="AR182" s="540"/>
      <c r="AS182" s="540"/>
      <c r="AT182" s="540"/>
      <c r="AU182" s="540"/>
      <c r="AV182" s="540"/>
      <c r="AW182" s="540"/>
      <c r="AX182" s="540"/>
      <c r="AY182" s="540"/>
      <c r="AZ182" s="540"/>
      <c r="BA182" s="540"/>
    </row>
    <row r="183" spans="1:53" ht="24">
      <c r="A183" s="447"/>
      <c r="B183" s="475" t="s">
        <v>72</v>
      </c>
      <c r="C183" s="475" t="s">
        <v>73</v>
      </c>
      <c r="D183" s="475" t="s">
        <v>68</v>
      </c>
      <c r="E183" s="475" t="s">
        <v>68</v>
      </c>
      <c r="F183" s="475" t="s">
        <v>74</v>
      </c>
      <c r="G183" s="12" t="s">
        <v>178</v>
      </c>
      <c r="H183" s="12"/>
      <c r="I183" s="13">
        <v>971000</v>
      </c>
      <c r="J183" s="13">
        <v>0</v>
      </c>
      <c r="K183" s="13">
        <v>971000</v>
      </c>
      <c r="L183" s="13">
        <v>0</v>
      </c>
      <c r="M183" s="17">
        <v>0</v>
      </c>
      <c r="N183" s="20">
        <f>J183+K183</f>
        <v>971000</v>
      </c>
      <c r="O183" s="136">
        <f t="shared" si="113"/>
        <v>100</v>
      </c>
      <c r="P183" s="20"/>
      <c r="Q183" s="472"/>
      <c r="R183" s="20"/>
      <c r="S183" s="20"/>
      <c r="T183" s="466">
        <f>P183+Q183</f>
        <v>0</v>
      </c>
      <c r="U183" s="472">
        <f t="shared" si="115"/>
        <v>0</v>
      </c>
      <c r="V183" s="472">
        <f t="shared" si="117"/>
        <v>971000</v>
      </c>
      <c r="W183" s="472">
        <f t="shared" si="111"/>
        <v>100</v>
      </c>
      <c r="X183" s="472">
        <f t="shared" si="118"/>
        <v>971000</v>
      </c>
      <c r="Y183" s="472">
        <f t="shared" si="116"/>
        <v>100</v>
      </c>
    </row>
    <row r="184" spans="1:53" ht="24">
      <c r="A184" s="447"/>
      <c r="B184" s="475" t="s">
        <v>72</v>
      </c>
      <c r="C184" s="475" t="s">
        <v>73</v>
      </c>
      <c r="D184" s="475" t="s">
        <v>68</v>
      </c>
      <c r="E184" s="475" t="s">
        <v>68</v>
      </c>
      <c r="F184" s="478" t="s">
        <v>308</v>
      </c>
      <c r="G184" s="12" t="s">
        <v>309</v>
      </c>
      <c r="H184" s="12"/>
      <c r="I184" s="13">
        <v>137000</v>
      </c>
      <c r="J184" s="13">
        <v>0</v>
      </c>
      <c r="K184" s="13">
        <v>137000</v>
      </c>
      <c r="L184" s="13">
        <v>0</v>
      </c>
      <c r="M184" s="17">
        <v>0</v>
      </c>
      <c r="N184" s="20">
        <f t="shared" ref="N184:N192" si="136">J184+K184</f>
        <v>137000</v>
      </c>
      <c r="O184" s="136">
        <f t="shared" si="113"/>
        <v>100</v>
      </c>
      <c r="P184" s="20"/>
      <c r="Q184" s="472"/>
      <c r="R184" s="20"/>
      <c r="S184" s="20"/>
      <c r="T184" s="466">
        <f t="shared" ref="T184:T192" si="137">P184+Q184</f>
        <v>0</v>
      </c>
      <c r="U184" s="472">
        <f t="shared" si="115"/>
        <v>0</v>
      </c>
      <c r="V184" s="472">
        <f t="shared" si="117"/>
        <v>137000</v>
      </c>
      <c r="W184" s="472">
        <f t="shared" si="111"/>
        <v>100</v>
      </c>
      <c r="X184" s="472">
        <f t="shared" si="118"/>
        <v>137000</v>
      </c>
      <c r="Y184" s="472">
        <f t="shared" si="116"/>
        <v>100</v>
      </c>
    </row>
    <row r="185" spans="1:53">
      <c r="A185" s="447"/>
      <c r="B185" s="475" t="s">
        <v>72</v>
      </c>
      <c r="C185" s="475" t="s">
        <v>73</v>
      </c>
      <c r="D185" s="475" t="s">
        <v>68</v>
      </c>
      <c r="E185" s="475" t="s">
        <v>68</v>
      </c>
      <c r="F185" s="475" t="s">
        <v>76</v>
      </c>
      <c r="G185" s="12" t="s">
        <v>179</v>
      </c>
      <c r="H185" s="12"/>
      <c r="I185" s="13">
        <v>1200000</v>
      </c>
      <c r="J185" s="13">
        <v>0</v>
      </c>
      <c r="K185" s="13">
        <v>1200000</v>
      </c>
      <c r="L185" s="13">
        <v>0</v>
      </c>
      <c r="M185" s="17">
        <v>0</v>
      </c>
      <c r="N185" s="20">
        <f t="shared" si="136"/>
        <v>1200000</v>
      </c>
      <c r="O185" s="136">
        <f t="shared" si="113"/>
        <v>100</v>
      </c>
      <c r="P185" s="20"/>
      <c r="Q185" s="472"/>
      <c r="R185" s="20"/>
      <c r="S185" s="20"/>
      <c r="T185" s="466">
        <f t="shared" si="137"/>
        <v>0</v>
      </c>
      <c r="U185" s="472">
        <f t="shared" si="115"/>
        <v>0</v>
      </c>
      <c r="V185" s="472">
        <f t="shared" si="117"/>
        <v>1200000</v>
      </c>
      <c r="W185" s="472">
        <f t="shared" si="111"/>
        <v>100</v>
      </c>
      <c r="X185" s="472">
        <f t="shared" si="118"/>
        <v>1200000</v>
      </c>
      <c r="Y185" s="472">
        <f t="shared" si="116"/>
        <v>100</v>
      </c>
    </row>
    <row r="186" spans="1:53" ht="24">
      <c r="A186" s="447"/>
      <c r="B186" s="475" t="s">
        <v>72</v>
      </c>
      <c r="C186" s="475" t="s">
        <v>73</v>
      </c>
      <c r="D186" s="475" t="s">
        <v>68</v>
      </c>
      <c r="E186" s="475" t="s">
        <v>68</v>
      </c>
      <c r="F186" s="475" t="s">
        <v>190</v>
      </c>
      <c r="G186" s="12" t="s">
        <v>310</v>
      </c>
      <c r="H186" s="12"/>
      <c r="I186" s="13">
        <v>162000</v>
      </c>
      <c r="J186" s="13">
        <v>0</v>
      </c>
      <c r="K186" s="13">
        <v>162000</v>
      </c>
      <c r="L186" s="13">
        <v>0</v>
      </c>
      <c r="M186" s="17">
        <v>0</v>
      </c>
      <c r="N186" s="20">
        <f t="shared" si="136"/>
        <v>162000</v>
      </c>
      <c r="O186" s="136">
        <f t="shared" si="113"/>
        <v>100</v>
      </c>
      <c r="P186" s="20"/>
      <c r="Q186" s="472"/>
      <c r="R186" s="20"/>
      <c r="S186" s="20"/>
      <c r="T186" s="466">
        <f t="shared" si="137"/>
        <v>0</v>
      </c>
      <c r="U186" s="472">
        <f t="shared" si="115"/>
        <v>0</v>
      </c>
      <c r="V186" s="472">
        <f t="shared" si="117"/>
        <v>162000</v>
      </c>
      <c r="W186" s="472">
        <f t="shared" si="111"/>
        <v>100</v>
      </c>
      <c r="X186" s="472">
        <f t="shared" si="118"/>
        <v>162000</v>
      </c>
      <c r="Y186" s="472">
        <f t="shared" si="116"/>
        <v>100</v>
      </c>
    </row>
    <row r="187" spans="1:53">
      <c r="A187" s="447"/>
      <c r="B187" s="475" t="s">
        <v>72</v>
      </c>
      <c r="C187" s="478" t="s">
        <v>73</v>
      </c>
      <c r="D187" s="478" t="s">
        <v>68</v>
      </c>
      <c r="E187" s="478" t="s">
        <v>68</v>
      </c>
      <c r="F187" s="478" t="s">
        <v>78</v>
      </c>
      <c r="G187" s="12" t="s">
        <v>79</v>
      </c>
      <c r="H187" s="12"/>
      <c r="I187" s="13">
        <v>7700000</v>
      </c>
      <c r="J187" s="13">
        <v>0</v>
      </c>
      <c r="K187" s="13">
        <v>7700000</v>
      </c>
      <c r="L187" s="13">
        <v>0</v>
      </c>
      <c r="M187" s="17">
        <v>0</v>
      </c>
      <c r="N187" s="20">
        <f t="shared" si="136"/>
        <v>7700000</v>
      </c>
      <c r="O187" s="136">
        <f t="shared" si="113"/>
        <v>100</v>
      </c>
      <c r="P187" s="20"/>
      <c r="Q187" s="472"/>
      <c r="R187" s="20"/>
      <c r="S187" s="20"/>
      <c r="T187" s="466">
        <f t="shared" si="137"/>
        <v>0</v>
      </c>
      <c r="U187" s="472">
        <f t="shared" si="115"/>
        <v>0</v>
      </c>
      <c r="V187" s="472">
        <f t="shared" si="117"/>
        <v>7700000</v>
      </c>
      <c r="W187" s="472">
        <f t="shared" si="111"/>
        <v>100</v>
      </c>
      <c r="X187" s="472">
        <f t="shared" si="118"/>
        <v>7700000</v>
      </c>
      <c r="Y187" s="472">
        <f t="shared" si="116"/>
        <v>100</v>
      </c>
    </row>
    <row r="188" spans="1:53">
      <c r="A188" s="447"/>
      <c r="B188" s="475" t="s">
        <v>72</v>
      </c>
      <c r="C188" s="475" t="s">
        <v>73</v>
      </c>
      <c r="D188" s="475" t="s">
        <v>68</v>
      </c>
      <c r="E188" s="478" t="s">
        <v>68</v>
      </c>
      <c r="F188" s="478" t="s">
        <v>184</v>
      </c>
      <c r="G188" s="12" t="s">
        <v>185</v>
      </c>
      <c r="H188" s="12"/>
      <c r="I188" s="13">
        <v>5000000</v>
      </c>
      <c r="J188" s="13">
        <v>0</v>
      </c>
      <c r="K188" s="13">
        <v>5000000</v>
      </c>
      <c r="L188" s="13">
        <v>0</v>
      </c>
      <c r="M188" s="17">
        <v>0</v>
      </c>
      <c r="N188" s="20">
        <f t="shared" si="136"/>
        <v>5000000</v>
      </c>
      <c r="O188" s="136">
        <f t="shared" si="113"/>
        <v>100</v>
      </c>
      <c r="P188" s="20"/>
      <c r="Q188" s="472"/>
      <c r="R188" s="20"/>
      <c r="S188" s="20"/>
      <c r="T188" s="466">
        <f t="shared" si="137"/>
        <v>0</v>
      </c>
      <c r="U188" s="472">
        <f t="shared" si="115"/>
        <v>0</v>
      </c>
      <c r="V188" s="472">
        <f t="shared" si="117"/>
        <v>5000000</v>
      </c>
      <c r="W188" s="472">
        <f t="shared" si="111"/>
        <v>100</v>
      </c>
      <c r="X188" s="472">
        <f t="shared" si="118"/>
        <v>5000000</v>
      </c>
      <c r="Y188" s="472">
        <f t="shared" si="116"/>
        <v>100</v>
      </c>
    </row>
    <row r="189" spans="1:53" ht="24">
      <c r="A189" s="447"/>
      <c r="B189" s="475" t="s">
        <v>72</v>
      </c>
      <c r="C189" s="475" t="s">
        <v>73</v>
      </c>
      <c r="D189" s="475" t="s">
        <v>73</v>
      </c>
      <c r="E189" s="475" t="s">
        <v>68</v>
      </c>
      <c r="F189" s="475" t="s">
        <v>116</v>
      </c>
      <c r="G189" s="12" t="s">
        <v>180</v>
      </c>
      <c r="H189" s="12"/>
      <c r="I189" s="13">
        <v>8500000</v>
      </c>
      <c r="J189" s="13">
        <v>0</v>
      </c>
      <c r="K189" s="13">
        <v>8500000</v>
      </c>
      <c r="L189" s="13">
        <v>0</v>
      </c>
      <c r="M189" s="17">
        <v>0</v>
      </c>
      <c r="N189" s="20">
        <f t="shared" si="136"/>
        <v>8500000</v>
      </c>
      <c r="O189" s="136">
        <f t="shared" si="113"/>
        <v>100</v>
      </c>
      <c r="P189" s="20"/>
      <c r="Q189" s="472"/>
      <c r="R189" s="20"/>
      <c r="S189" s="20"/>
      <c r="T189" s="466">
        <f t="shared" si="137"/>
        <v>0</v>
      </c>
      <c r="U189" s="472">
        <f t="shared" si="115"/>
        <v>0</v>
      </c>
      <c r="V189" s="472">
        <f t="shared" si="117"/>
        <v>8500000</v>
      </c>
      <c r="W189" s="472">
        <f t="shared" si="111"/>
        <v>100</v>
      </c>
      <c r="X189" s="472">
        <f t="shared" si="118"/>
        <v>8500000</v>
      </c>
      <c r="Y189" s="472">
        <f t="shared" si="116"/>
        <v>100</v>
      </c>
    </row>
    <row r="190" spans="1:53">
      <c r="A190" s="485"/>
      <c r="B190" s="511" t="s">
        <v>72</v>
      </c>
      <c r="C190" s="511" t="s">
        <v>73</v>
      </c>
      <c r="D190" s="511" t="s">
        <v>73</v>
      </c>
      <c r="E190" s="511" t="s">
        <v>80</v>
      </c>
      <c r="F190" s="512" t="s">
        <v>162</v>
      </c>
      <c r="G190" s="12" t="s">
        <v>323</v>
      </c>
      <c r="H190" s="12"/>
      <c r="I190" s="13">
        <v>920000</v>
      </c>
      <c r="J190" s="13">
        <v>0</v>
      </c>
      <c r="K190" s="13">
        <v>920000</v>
      </c>
      <c r="L190" s="13">
        <v>0</v>
      </c>
      <c r="M190" s="17">
        <v>0</v>
      </c>
      <c r="N190" s="20">
        <f t="shared" si="136"/>
        <v>920000</v>
      </c>
      <c r="O190" s="136">
        <f t="shared" si="113"/>
        <v>100</v>
      </c>
      <c r="P190" s="20"/>
      <c r="Q190" s="472"/>
      <c r="R190" s="20"/>
      <c r="S190" s="20"/>
      <c r="T190" s="466">
        <f t="shared" si="137"/>
        <v>0</v>
      </c>
      <c r="U190" s="472">
        <f t="shared" si="115"/>
        <v>0</v>
      </c>
      <c r="V190" s="472">
        <f t="shared" si="117"/>
        <v>920000</v>
      </c>
      <c r="W190" s="472">
        <f t="shared" si="111"/>
        <v>100</v>
      </c>
      <c r="X190" s="472">
        <f t="shared" si="118"/>
        <v>920000</v>
      </c>
      <c r="Y190" s="472">
        <f t="shared" si="116"/>
        <v>100</v>
      </c>
    </row>
    <row r="191" spans="1:53">
      <c r="A191" s="447"/>
      <c r="B191" s="475" t="s">
        <v>72</v>
      </c>
      <c r="C191" s="475" t="s">
        <v>73</v>
      </c>
      <c r="D191" s="475" t="s">
        <v>73</v>
      </c>
      <c r="E191" s="475" t="s">
        <v>66</v>
      </c>
      <c r="F191" s="475" t="s">
        <v>182</v>
      </c>
      <c r="G191" s="12" t="s">
        <v>183</v>
      </c>
      <c r="H191" s="12"/>
      <c r="I191" s="13">
        <v>1800000</v>
      </c>
      <c r="J191" s="13">
        <v>0</v>
      </c>
      <c r="K191" s="13">
        <v>1800000</v>
      </c>
      <c r="L191" s="13">
        <v>0</v>
      </c>
      <c r="M191" s="17">
        <v>0</v>
      </c>
      <c r="N191" s="20">
        <f t="shared" si="136"/>
        <v>1800000</v>
      </c>
      <c r="O191" s="136">
        <f t="shared" si="113"/>
        <v>100</v>
      </c>
      <c r="P191" s="20"/>
      <c r="Q191" s="472"/>
      <c r="R191" s="20"/>
      <c r="S191" s="20"/>
      <c r="T191" s="466">
        <f t="shared" si="137"/>
        <v>0</v>
      </c>
      <c r="U191" s="472">
        <f t="shared" si="115"/>
        <v>0</v>
      </c>
      <c r="V191" s="472">
        <f t="shared" si="117"/>
        <v>1800000</v>
      </c>
      <c r="W191" s="472">
        <f t="shared" si="111"/>
        <v>100</v>
      </c>
      <c r="X191" s="472">
        <f t="shared" si="118"/>
        <v>1800000</v>
      </c>
      <c r="Y191" s="472">
        <f t="shared" si="116"/>
        <v>100</v>
      </c>
    </row>
    <row r="192" spans="1:53">
      <c r="A192" s="447"/>
      <c r="B192" s="475" t="s">
        <v>72</v>
      </c>
      <c r="C192" s="475" t="s">
        <v>73</v>
      </c>
      <c r="D192" s="475" t="s">
        <v>80</v>
      </c>
      <c r="E192" s="475" t="s">
        <v>68</v>
      </c>
      <c r="F192" s="475" t="s">
        <v>81</v>
      </c>
      <c r="G192" s="12" t="s">
        <v>82</v>
      </c>
      <c r="H192" s="12"/>
      <c r="I192" s="13">
        <v>3500000</v>
      </c>
      <c r="J192" s="13">
        <v>0</v>
      </c>
      <c r="K192" s="13">
        <v>3500000</v>
      </c>
      <c r="L192" s="13">
        <v>0</v>
      </c>
      <c r="M192" s="17">
        <v>0</v>
      </c>
      <c r="N192" s="20">
        <f t="shared" si="136"/>
        <v>3500000</v>
      </c>
      <c r="O192" s="136">
        <f t="shared" si="113"/>
        <v>100</v>
      </c>
      <c r="P192" s="20"/>
      <c r="Q192" s="472"/>
      <c r="R192" s="20"/>
      <c r="S192" s="20"/>
      <c r="T192" s="466">
        <f t="shared" si="137"/>
        <v>0</v>
      </c>
      <c r="U192" s="472">
        <f t="shared" si="115"/>
        <v>0</v>
      </c>
      <c r="V192" s="472">
        <f t="shared" si="117"/>
        <v>3500000</v>
      </c>
      <c r="W192" s="472">
        <f t="shared" si="111"/>
        <v>100</v>
      </c>
      <c r="X192" s="472">
        <f t="shared" si="118"/>
        <v>3500000</v>
      </c>
      <c r="Y192" s="472">
        <f t="shared" si="116"/>
        <v>100</v>
      </c>
    </row>
    <row r="193" spans="1:53" s="484" customFormat="1">
      <c r="A193" s="481">
        <v>32</v>
      </c>
      <c r="B193" s="482">
        <v>1</v>
      </c>
      <c r="C193" s="482" t="s">
        <v>66</v>
      </c>
      <c r="D193" s="482" t="s">
        <v>93</v>
      </c>
      <c r="E193" s="482" t="s">
        <v>87</v>
      </c>
      <c r="F193" s="486" t="s">
        <v>134</v>
      </c>
      <c r="G193" s="143" t="s">
        <v>21</v>
      </c>
      <c r="H193" s="147" t="s">
        <v>328</v>
      </c>
      <c r="I193" s="144">
        <f>SUM(I194:I203)</f>
        <v>99506640</v>
      </c>
      <c r="J193" s="144">
        <f t="shared" ref="J193:N193" si="138">SUM(J194:J203)</f>
        <v>0</v>
      </c>
      <c r="K193" s="144">
        <f t="shared" si="138"/>
        <v>0</v>
      </c>
      <c r="L193" s="144">
        <f t="shared" si="138"/>
        <v>2811500</v>
      </c>
      <c r="M193" s="144">
        <f t="shared" si="138"/>
        <v>96695140</v>
      </c>
      <c r="N193" s="144">
        <f t="shared" si="138"/>
        <v>0</v>
      </c>
      <c r="O193" s="133">
        <f t="shared" si="113"/>
        <v>0</v>
      </c>
      <c r="P193" s="483">
        <f>SUM(P194:P203)</f>
        <v>0</v>
      </c>
      <c r="Q193" s="134">
        <f t="shared" ref="Q193:T193" si="139">SUM(Q194:Q203)</f>
        <v>0</v>
      </c>
      <c r="R193" s="134">
        <f t="shared" si="139"/>
        <v>0</v>
      </c>
      <c r="S193" s="134">
        <f t="shared" si="139"/>
        <v>0</v>
      </c>
      <c r="T193" s="134">
        <f t="shared" si="139"/>
        <v>0</v>
      </c>
      <c r="U193" s="134" t="e">
        <f t="shared" si="115"/>
        <v>#DIV/0!</v>
      </c>
      <c r="V193" s="135">
        <f t="shared" si="117"/>
        <v>0</v>
      </c>
      <c r="W193" s="134" t="e">
        <f t="shared" si="111"/>
        <v>#DIV/0!</v>
      </c>
      <c r="X193" s="135">
        <f t="shared" si="118"/>
        <v>99506640</v>
      </c>
      <c r="Y193" s="134">
        <f t="shared" si="116"/>
        <v>100</v>
      </c>
      <c r="Z193" s="540"/>
      <c r="AA193" s="540"/>
      <c r="AB193" s="540"/>
      <c r="AC193" s="540"/>
      <c r="AD193" s="540"/>
      <c r="AE193" s="540"/>
      <c r="AF193" s="540"/>
      <c r="AG193" s="540"/>
      <c r="AH193" s="540"/>
      <c r="AI193" s="540"/>
      <c r="AJ193" s="540"/>
      <c r="AK193" s="540"/>
      <c r="AL193" s="540"/>
      <c r="AM193" s="540"/>
      <c r="AN193" s="540"/>
      <c r="AO193" s="540"/>
      <c r="AP193" s="540"/>
      <c r="AQ193" s="540"/>
      <c r="AR193" s="540"/>
      <c r="AS193" s="540"/>
      <c r="AT193" s="540"/>
      <c r="AU193" s="540"/>
      <c r="AV193" s="540"/>
      <c r="AW193" s="540"/>
      <c r="AX193" s="540"/>
      <c r="AY193" s="540"/>
      <c r="AZ193" s="540"/>
      <c r="BA193" s="540"/>
    </row>
    <row r="194" spans="1:53" ht="24">
      <c r="A194" s="447"/>
      <c r="B194" s="475" t="s">
        <v>72</v>
      </c>
      <c r="C194" s="475" t="s">
        <v>73</v>
      </c>
      <c r="D194" s="475" t="s">
        <v>68</v>
      </c>
      <c r="E194" s="475" t="s">
        <v>68</v>
      </c>
      <c r="F194" s="475" t="s">
        <v>74</v>
      </c>
      <c r="G194" s="12" t="s">
        <v>178</v>
      </c>
      <c r="H194" s="12"/>
      <c r="I194" s="13">
        <v>9955140</v>
      </c>
      <c r="J194" s="13">
        <v>0</v>
      </c>
      <c r="K194" s="13">
        <v>0</v>
      </c>
      <c r="L194" s="13">
        <v>250000</v>
      </c>
      <c r="M194" s="17">
        <v>9705140</v>
      </c>
      <c r="N194" s="20">
        <f>J194+K194</f>
        <v>0</v>
      </c>
      <c r="O194" s="136">
        <f t="shared" si="113"/>
        <v>0</v>
      </c>
      <c r="P194" s="20"/>
      <c r="Q194" s="472"/>
      <c r="R194" s="20"/>
      <c r="S194" s="20"/>
      <c r="T194" s="466">
        <f>P194+Q194</f>
        <v>0</v>
      </c>
      <c r="U194" s="472" t="e">
        <f t="shared" si="115"/>
        <v>#DIV/0!</v>
      </c>
      <c r="V194" s="472">
        <f t="shared" si="117"/>
        <v>0</v>
      </c>
      <c r="W194" s="472" t="e">
        <f t="shared" si="111"/>
        <v>#DIV/0!</v>
      </c>
      <c r="X194" s="472">
        <f t="shared" si="118"/>
        <v>9955140</v>
      </c>
      <c r="Y194" s="472">
        <f t="shared" si="116"/>
        <v>100</v>
      </c>
    </row>
    <row r="195" spans="1:53" ht="24">
      <c r="A195" s="485"/>
      <c r="B195" s="511" t="s">
        <v>72</v>
      </c>
      <c r="C195" s="511" t="s">
        <v>73</v>
      </c>
      <c r="D195" s="511" t="s">
        <v>68</v>
      </c>
      <c r="E195" s="512" t="s">
        <v>68</v>
      </c>
      <c r="F195" s="512" t="s">
        <v>308</v>
      </c>
      <c r="G195" s="12" t="s">
        <v>309</v>
      </c>
      <c r="H195" s="12"/>
      <c r="I195" s="13">
        <v>116500</v>
      </c>
      <c r="J195" s="13">
        <v>0</v>
      </c>
      <c r="K195" s="13">
        <v>0</v>
      </c>
      <c r="L195" s="13">
        <v>116500</v>
      </c>
      <c r="M195" s="17">
        <v>0</v>
      </c>
      <c r="N195" s="20">
        <f t="shared" ref="N195:N203" si="140">J195+K195</f>
        <v>0</v>
      </c>
      <c r="O195" s="136">
        <f t="shared" si="113"/>
        <v>0</v>
      </c>
      <c r="P195" s="20"/>
      <c r="Q195" s="472"/>
      <c r="R195" s="20"/>
      <c r="S195" s="20"/>
      <c r="T195" s="466">
        <f t="shared" ref="T195:T203" si="141">P195+Q195</f>
        <v>0</v>
      </c>
      <c r="U195" s="472" t="e">
        <f t="shared" si="115"/>
        <v>#DIV/0!</v>
      </c>
      <c r="V195" s="472">
        <f t="shared" si="117"/>
        <v>0</v>
      </c>
      <c r="W195" s="472" t="e">
        <f t="shared" si="111"/>
        <v>#DIV/0!</v>
      </c>
      <c r="X195" s="472">
        <f t="shared" si="118"/>
        <v>116500</v>
      </c>
      <c r="Y195" s="472">
        <f t="shared" si="116"/>
        <v>100</v>
      </c>
    </row>
    <row r="196" spans="1:53">
      <c r="A196" s="447"/>
      <c r="B196" s="475" t="s">
        <v>72</v>
      </c>
      <c r="C196" s="475" t="s">
        <v>73</v>
      </c>
      <c r="D196" s="475" t="s">
        <v>68</v>
      </c>
      <c r="E196" s="475" t="s">
        <v>68</v>
      </c>
      <c r="F196" s="475" t="s">
        <v>76</v>
      </c>
      <c r="G196" s="12" t="s">
        <v>179</v>
      </c>
      <c r="H196" s="12"/>
      <c r="I196" s="13">
        <v>2325000</v>
      </c>
      <c r="J196" s="13">
        <v>0</v>
      </c>
      <c r="K196" s="13">
        <v>0</v>
      </c>
      <c r="L196" s="13">
        <v>2325000</v>
      </c>
      <c r="M196" s="17">
        <v>0</v>
      </c>
      <c r="N196" s="20">
        <f t="shared" si="140"/>
        <v>0</v>
      </c>
      <c r="O196" s="136">
        <f t="shared" si="113"/>
        <v>0</v>
      </c>
      <c r="P196" s="20"/>
      <c r="Q196" s="472"/>
      <c r="R196" s="20"/>
      <c r="S196" s="20"/>
      <c r="T196" s="466">
        <f t="shared" si="141"/>
        <v>0</v>
      </c>
      <c r="U196" s="472" t="e">
        <f t="shared" si="115"/>
        <v>#DIV/0!</v>
      </c>
      <c r="V196" s="472">
        <f t="shared" si="117"/>
        <v>0</v>
      </c>
      <c r="W196" s="472" t="e">
        <f t="shared" si="111"/>
        <v>#DIV/0!</v>
      </c>
      <c r="X196" s="472">
        <f t="shared" si="118"/>
        <v>2325000</v>
      </c>
      <c r="Y196" s="472">
        <f t="shared" si="116"/>
        <v>100</v>
      </c>
    </row>
    <row r="197" spans="1:53">
      <c r="A197" s="447"/>
      <c r="B197" s="475" t="s">
        <v>72</v>
      </c>
      <c r="C197" s="475" t="s">
        <v>73</v>
      </c>
      <c r="D197" s="475" t="s">
        <v>68</v>
      </c>
      <c r="E197" s="475" t="s">
        <v>68</v>
      </c>
      <c r="F197" s="478" t="s">
        <v>144</v>
      </c>
      <c r="G197" s="12" t="s">
        <v>145</v>
      </c>
      <c r="H197" s="12"/>
      <c r="I197" s="13">
        <v>150000</v>
      </c>
      <c r="J197" s="13">
        <v>0</v>
      </c>
      <c r="K197" s="13">
        <v>0</v>
      </c>
      <c r="L197" s="13">
        <v>0</v>
      </c>
      <c r="M197" s="17">
        <v>150000</v>
      </c>
      <c r="N197" s="20">
        <f t="shared" si="140"/>
        <v>0</v>
      </c>
      <c r="O197" s="136">
        <f t="shared" si="113"/>
        <v>0</v>
      </c>
      <c r="P197" s="20"/>
      <c r="Q197" s="472"/>
      <c r="R197" s="20"/>
      <c r="S197" s="20"/>
      <c r="T197" s="466">
        <f t="shared" si="141"/>
        <v>0</v>
      </c>
      <c r="U197" s="472" t="e">
        <f t="shared" si="115"/>
        <v>#DIV/0!</v>
      </c>
      <c r="V197" s="472">
        <f t="shared" si="117"/>
        <v>0</v>
      </c>
      <c r="W197" s="472" t="e">
        <f t="shared" si="111"/>
        <v>#DIV/0!</v>
      </c>
      <c r="X197" s="472">
        <f t="shared" si="118"/>
        <v>150000</v>
      </c>
      <c r="Y197" s="472">
        <f t="shared" si="116"/>
        <v>100</v>
      </c>
    </row>
    <row r="198" spans="1:53" ht="24">
      <c r="A198" s="447"/>
      <c r="B198" s="475" t="s">
        <v>72</v>
      </c>
      <c r="C198" s="475" t="s">
        <v>73</v>
      </c>
      <c r="D198" s="475" t="s">
        <v>68</v>
      </c>
      <c r="E198" s="475" t="s">
        <v>68</v>
      </c>
      <c r="F198" s="478" t="s">
        <v>190</v>
      </c>
      <c r="G198" s="12" t="s">
        <v>310</v>
      </c>
      <c r="H198" s="12"/>
      <c r="I198" s="13">
        <v>120000</v>
      </c>
      <c r="J198" s="13">
        <v>0</v>
      </c>
      <c r="K198" s="13">
        <v>0</v>
      </c>
      <c r="L198" s="13">
        <v>120000</v>
      </c>
      <c r="M198" s="17">
        <v>0</v>
      </c>
      <c r="N198" s="20">
        <f t="shared" si="140"/>
        <v>0</v>
      </c>
      <c r="O198" s="136">
        <f t="shared" si="113"/>
        <v>0</v>
      </c>
      <c r="P198" s="20"/>
      <c r="Q198" s="472"/>
      <c r="R198" s="20"/>
      <c r="S198" s="20"/>
      <c r="T198" s="466">
        <f t="shared" si="141"/>
        <v>0</v>
      </c>
      <c r="U198" s="472" t="e">
        <f t="shared" si="115"/>
        <v>#DIV/0!</v>
      </c>
      <c r="V198" s="472">
        <f t="shared" si="117"/>
        <v>0</v>
      </c>
      <c r="W198" s="472" t="e">
        <f t="shared" si="111"/>
        <v>#DIV/0!</v>
      </c>
      <c r="X198" s="472">
        <f t="shared" si="118"/>
        <v>120000</v>
      </c>
      <c r="Y198" s="472">
        <f t="shared" si="116"/>
        <v>100</v>
      </c>
    </row>
    <row r="199" spans="1:53">
      <c r="A199" s="447"/>
      <c r="B199" s="475" t="s">
        <v>72</v>
      </c>
      <c r="C199" s="475" t="s">
        <v>73</v>
      </c>
      <c r="D199" s="475" t="s">
        <v>68</v>
      </c>
      <c r="E199" s="475" t="s">
        <v>68</v>
      </c>
      <c r="F199" s="475" t="s">
        <v>78</v>
      </c>
      <c r="G199" s="22" t="s">
        <v>79</v>
      </c>
      <c r="H199" s="22"/>
      <c r="I199" s="13">
        <v>12850000</v>
      </c>
      <c r="J199" s="13">
        <v>0</v>
      </c>
      <c r="K199" s="13">
        <v>0</v>
      </c>
      <c r="L199" s="13">
        <v>0</v>
      </c>
      <c r="M199" s="17">
        <v>12850000</v>
      </c>
      <c r="N199" s="20">
        <f t="shared" si="140"/>
        <v>0</v>
      </c>
      <c r="O199" s="136">
        <f t="shared" si="113"/>
        <v>0</v>
      </c>
      <c r="P199" s="20"/>
      <c r="Q199" s="472"/>
      <c r="R199" s="20"/>
      <c r="S199" s="20"/>
      <c r="T199" s="466">
        <f t="shared" si="141"/>
        <v>0</v>
      </c>
      <c r="U199" s="472" t="e">
        <f t="shared" si="115"/>
        <v>#DIV/0!</v>
      </c>
      <c r="V199" s="472">
        <f t="shared" si="117"/>
        <v>0</v>
      </c>
      <c r="W199" s="472" t="e">
        <f t="shared" si="111"/>
        <v>#DIV/0!</v>
      </c>
      <c r="X199" s="472">
        <f t="shared" si="118"/>
        <v>12850000</v>
      </c>
      <c r="Y199" s="472">
        <f t="shared" si="116"/>
        <v>100</v>
      </c>
    </row>
    <row r="200" spans="1:53" ht="24">
      <c r="A200" s="485"/>
      <c r="B200" s="475" t="s">
        <v>72</v>
      </c>
      <c r="C200" s="475" t="s">
        <v>73</v>
      </c>
      <c r="D200" s="478" t="s">
        <v>73</v>
      </c>
      <c r="E200" s="478" t="s">
        <v>68</v>
      </c>
      <c r="F200" s="475" t="s">
        <v>116</v>
      </c>
      <c r="G200" s="12" t="s">
        <v>180</v>
      </c>
      <c r="H200" s="12"/>
      <c r="I200" s="13">
        <v>30000000</v>
      </c>
      <c r="J200" s="13">
        <v>0</v>
      </c>
      <c r="K200" s="13">
        <v>0</v>
      </c>
      <c r="L200" s="13">
        <v>0</v>
      </c>
      <c r="M200" s="17">
        <v>30000000</v>
      </c>
      <c r="N200" s="20">
        <f t="shared" si="140"/>
        <v>0</v>
      </c>
      <c r="O200" s="136">
        <f t="shared" si="113"/>
        <v>0</v>
      </c>
      <c r="P200" s="20">
        <f>P201</f>
        <v>0</v>
      </c>
      <c r="Q200" s="472"/>
      <c r="R200" s="20"/>
      <c r="S200" s="20"/>
      <c r="T200" s="466">
        <f t="shared" si="141"/>
        <v>0</v>
      </c>
      <c r="U200" s="472" t="e">
        <f t="shared" si="115"/>
        <v>#DIV/0!</v>
      </c>
      <c r="V200" s="472">
        <f t="shared" si="117"/>
        <v>0</v>
      </c>
      <c r="W200" s="472" t="e">
        <f t="shared" ref="W200:W273" si="142">V200/N200*100</f>
        <v>#DIV/0!</v>
      </c>
      <c r="X200" s="472">
        <f t="shared" si="118"/>
        <v>30000000</v>
      </c>
      <c r="Y200" s="472">
        <f t="shared" si="116"/>
        <v>100</v>
      </c>
    </row>
    <row r="201" spans="1:53">
      <c r="A201" s="485"/>
      <c r="B201" s="513" t="s">
        <v>72</v>
      </c>
      <c r="C201" s="513" t="s">
        <v>73</v>
      </c>
      <c r="D201" s="513" t="s">
        <v>73</v>
      </c>
      <c r="E201" s="514" t="s">
        <v>80</v>
      </c>
      <c r="F201" s="514" t="s">
        <v>160</v>
      </c>
      <c r="G201" s="15" t="s">
        <v>329</v>
      </c>
      <c r="H201" s="15"/>
      <c r="I201" s="14">
        <v>10000000</v>
      </c>
      <c r="J201" s="14">
        <v>0</v>
      </c>
      <c r="K201" s="14">
        <v>0</v>
      </c>
      <c r="L201" s="14">
        <v>0</v>
      </c>
      <c r="M201" s="138">
        <v>10000000</v>
      </c>
      <c r="N201" s="20">
        <f t="shared" si="140"/>
        <v>0</v>
      </c>
      <c r="O201" s="136">
        <f t="shared" ref="O201:O273" si="143">N201/I201*100</f>
        <v>0</v>
      </c>
      <c r="P201" s="20">
        <f>SUM(P202:P205)</f>
        <v>0</v>
      </c>
      <c r="Q201" s="472"/>
      <c r="R201" s="20"/>
      <c r="S201" s="20"/>
      <c r="T201" s="466">
        <f t="shared" si="141"/>
        <v>0</v>
      </c>
      <c r="U201" s="472" t="e">
        <f t="shared" ref="U201:U273" si="144">T201/N201*100</f>
        <v>#DIV/0!</v>
      </c>
      <c r="V201" s="472">
        <f t="shared" si="117"/>
        <v>0</v>
      </c>
      <c r="W201" s="472" t="e">
        <f t="shared" si="142"/>
        <v>#DIV/0!</v>
      </c>
      <c r="X201" s="472">
        <f t="shared" si="118"/>
        <v>10000000</v>
      </c>
      <c r="Y201" s="472">
        <f t="shared" ref="Y201:Y273" si="145">X201/I201*100</f>
        <v>100</v>
      </c>
    </row>
    <row r="202" spans="1:53">
      <c r="A202" s="447"/>
      <c r="B202" s="475" t="s">
        <v>72</v>
      </c>
      <c r="C202" s="475" t="s">
        <v>73</v>
      </c>
      <c r="D202" s="475" t="s">
        <v>73</v>
      </c>
      <c r="E202" s="475" t="s">
        <v>66</v>
      </c>
      <c r="F202" s="475" t="s">
        <v>182</v>
      </c>
      <c r="G202" s="12" t="s">
        <v>183</v>
      </c>
      <c r="H202" s="12"/>
      <c r="I202" s="13">
        <v>21000000</v>
      </c>
      <c r="J202" s="13">
        <v>0</v>
      </c>
      <c r="K202" s="13">
        <v>0</v>
      </c>
      <c r="L202" s="13">
        <v>0</v>
      </c>
      <c r="M202" s="17">
        <v>21000000</v>
      </c>
      <c r="N202" s="20">
        <f t="shared" si="140"/>
        <v>0</v>
      </c>
      <c r="O202" s="136">
        <f t="shared" si="143"/>
        <v>0</v>
      </c>
      <c r="P202" s="20"/>
      <c r="Q202" s="472"/>
      <c r="R202" s="20"/>
      <c r="S202" s="20"/>
      <c r="T202" s="466">
        <f t="shared" si="141"/>
        <v>0</v>
      </c>
      <c r="U202" s="472" t="e">
        <f t="shared" si="144"/>
        <v>#DIV/0!</v>
      </c>
      <c r="V202" s="472">
        <f t="shared" ref="V202:V265" si="146">N202-T202</f>
        <v>0</v>
      </c>
      <c r="W202" s="472" t="e">
        <f t="shared" si="142"/>
        <v>#DIV/0!</v>
      </c>
      <c r="X202" s="472">
        <f t="shared" ref="X202:X265" si="147">I202-T202</f>
        <v>21000000</v>
      </c>
      <c r="Y202" s="472">
        <f t="shared" si="145"/>
        <v>100</v>
      </c>
    </row>
    <row r="203" spans="1:53">
      <c r="A203" s="447"/>
      <c r="B203" s="475" t="s">
        <v>72</v>
      </c>
      <c r="C203" s="475" t="s">
        <v>73</v>
      </c>
      <c r="D203" s="475" t="s">
        <v>80</v>
      </c>
      <c r="E203" s="475" t="s">
        <v>68</v>
      </c>
      <c r="F203" s="475" t="s">
        <v>81</v>
      </c>
      <c r="G203" s="12" t="s">
        <v>82</v>
      </c>
      <c r="H203" s="12"/>
      <c r="I203" s="13">
        <v>12990000</v>
      </c>
      <c r="J203" s="13">
        <v>0</v>
      </c>
      <c r="K203" s="13">
        <v>0</v>
      </c>
      <c r="L203" s="13">
        <v>0</v>
      </c>
      <c r="M203" s="17">
        <v>12990000</v>
      </c>
      <c r="N203" s="20">
        <f t="shared" si="140"/>
        <v>0</v>
      </c>
      <c r="O203" s="136">
        <f t="shared" si="143"/>
        <v>0</v>
      </c>
      <c r="P203" s="20"/>
      <c r="Q203" s="472"/>
      <c r="R203" s="20"/>
      <c r="S203" s="20"/>
      <c r="T203" s="466">
        <f t="shared" si="141"/>
        <v>0</v>
      </c>
      <c r="U203" s="472" t="e">
        <f t="shared" si="144"/>
        <v>#DIV/0!</v>
      </c>
      <c r="V203" s="472">
        <f t="shared" si="146"/>
        <v>0</v>
      </c>
      <c r="W203" s="472" t="e">
        <f t="shared" si="142"/>
        <v>#DIV/0!</v>
      </c>
      <c r="X203" s="472">
        <f t="shared" si="147"/>
        <v>12990000</v>
      </c>
      <c r="Y203" s="472">
        <f t="shared" si="145"/>
        <v>100</v>
      </c>
    </row>
    <row r="204" spans="1:53" s="484" customFormat="1">
      <c r="A204" s="481">
        <v>33</v>
      </c>
      <c r="B204" s="482">
        <v>1</v>
      </c>
      <c r="C204" s="482" t="s">
        <v>66</v>
      </c>
      <c r="D204" s="482" t="s">
        <v>93</v>
      </c>
      <c r="E204" s="482" t="s">
        <v>87</v>
      </c>
      <c r="F204" s="486" t="s">
        <v>192</v>
      </c>
      <c r="G204" s="143" t="s">
        <v>20</v>
      </c>
      <c r="H204" s="143"/>
      <c r="I204" s="144">
        <f>SUM(I205:I211)</f>
        <v>19136500</v>
      </c>
      <c r="J204" s="144">
        <f t="shared" ref="J204:N204" si="148">SUM(J205:J211)</f>
        <v>0</v>
      </c>
      <c r="K204" s="144">
        <f t="shared" si="148"/>
        <v>0</v>
      </c>
      <c r="L204" s="144">
        <f t="shared" si="148"/>
        <v>0</v>
      </c>
      <c r="M204" s="144">
        <f t="shared" si="148"/>
        <v>19136500</v>
      </c>
      <c r="N204" s="144">
        <f t="shared" si="148"/>
        <v>0</v>
      </c>
      <c r="O204" s="133">
        <f t="shared" si="143"/>
        <v>0</v>
      </c>
      <c r="P204" s="483">
        <f>SUM(P205:P211)</f>
        <v>0</v>
      </c>
      <c r="Q204" s="134">
        <f t="shared" ref="Q204:T204" si="149">SUM(Q205:Q211)</f>
        <v>0</v>
      </c>
      <c r="R204" s="134">
        <f t="shared" si="149"/>
        <v>0</v>
      </c>
      <c r="S204" s="134">
        <f t="shared" si="149"/>
        <v>0</v>
      </c>
      <c r="T204" s="134">
        <f t="shared" si="149"/>
        <v>0</v>
      </c>
      <c r="U204" s="134" t="e">
        <f t="shared" si="144"/>
        <v>#DIV/0!</v>
      </c>
      <c r="V204" s="135">
        <f t="shared" si="146"/>
        <v>0</v>
      </c>
      <c r="W204" s="134" t="e">
        <f t="shared" si="142"/>
        <v>#DIV/0!</v>
      </c>
      <c r="X204" s="135">
        <f t="shared" si="147"/>
        <v>19136500</v>
      </c>
      <c r="Y204" s="134">
        <f t="shared" si="145"/>
        <v>100</v>
      </c>
      <c r="Z204" s="540"/>
      <c r="AA204" s="540"/>
      <c r="AB204" s="540"/>
      <c r="AC204" s="540"/>
      <c r="AD204" s="540"/>
      <c r="AE204" s="540"/>
      <c r="AF204" s="540"/>
      <c r="AG204" s="540"/>
      <c r="AH204" s="540"/>
      <c r="AI204" s="540"/>
      <c r="AJ204" s="540"/>
      <c r="AK204" s="540"/>
      <c r="AL204" s="540"/>
      <c r="AM204" s="540"/>
      <c r="AN204" s="540"/>
      <c r="AO204" s="540"/>
      <c r="AP204" s="540"/>
      <c r="AQ204" s="540"/>
      <c r="AR204" s="540"/>
      <c r="AS204" s="540"/>
      <c r="AT204" s="540"/>
      <c r="AU204" s="540"/>
      <c r="AV204" s="540"/>
      <c r="AW204" s="540"/>
      <c r="AX204" s="540"/>
      <c r="AY204" s="540"/>
      <c r="AZ204" s="540"/>
      <c r="BA204" s="540"/>
    </row>
    <row r="205" spans="1:53" ht="24">
      <c r="A205" s="447"/>
      <c r="B205" s="475" t="s">
        <v>72</v>
      </c>
      <c r="C205" s="475" t="s">
        <v>73</v>
      </c>
      <c r="D205" s="475" t="s">
        <v>68</v>
      </c>
      <c r="E205" s="475" t="s">
        <v>68</v>
      </c>
      <c r="F205" s="475" t="s">
        <v>74</v>
      </c>
      <c r="G205" s="22" t="s">
        <v>178</v>
      </c>
      <c r="H205" s="22"/>
      <c r="I205" s="13">
        <v>265500</v>
      </c>
      <c r="J205" s="13">
        <v>0</v>
      </c>
      <c r="K205" s="13">
        <v>0</v>
      </c>
      <c r="L205" s="13">
        <v>0</v>
      </c>
      <c r="M205" s="17">
        <v>265500</v>
      </c>
      <c r="N205" s="20">
        <f>J205+K205</f>
        <v>0</v>
      </c>
      <c r="O205" s="136">
        <f t="shared" si="143"/>
        <v>0</v>
      </c>
      <c r="P205" s="20"/>
      <c r="Q205" s="472"/>
      <c r="R205" s="20"/>
      <c r="S205" s="20"/>
      <c r="T205" s="472">
        <f>P205+Q205</f>
        <v>0</v>
      </c>
      <c r="U205" s="472" t="e">
        <f t="shared" si="144"/>
        <v>#DIV/0!</v>
      </c>
      <c r="V205" s="472">
        <f t="shared" si="146"/>
        <v>0</v>
      </c>
      <c r="W205" s="472" t="e">
        <f t="shared" si="142"/>
        <v>#DIV/0!</v>
      </c>
      <c r="X205" s="472">
        <f t="shared" si="147"/>
        <v>265500</v>
      </c>
      <c r="Y205" s="472">
        <f t="shared" si="145"/>
        <v>100</v>
      </c>
    </row>
    <row r="206" spans="1:53" ht="24">
      <c r="A206" s="447"/>
      <c r="B206" s="475" t="s">
        <v>72</v>
      </c>
      <c r="C206" s="475" t="s">
        <v>73</v>
      </c>
      <c r="D206" s="475" t="s">
        <v>68</v>
      </c>
      <c r="E206" s="475" t="s">
        <v>68</v>
      </c>
      <c r="F206" s="475" t="s">
        <v>308</v>
      </c>
      <c r="G206" s="22" t="s">
        <v>309</v>
      </c>
      <c r="H206" s="22"/>
      <c r="I206" s="13">
        <v>158000</v>
      </c>
      <c r="J206" s="13">
        <v>0</v>
      </c>
      <c r="K206" s="13">
        <v>0</v>
      </c>
      <c r="L206" s="13">
        <v>0</v>
      </c>
      <c r="M206" s="17">
        <v>158000</v>
      </c>
      <c r="N206" s="20">
        <f t="shared" ref="N206:N211" si="150">J206+K206</f>
        <v>0</v>
      </c>
      <c r="O206" s="136">
        <f t="shared" si="143"/>
        <v>0</v>
      </c>
      <c r="P206" s="20"/>
      <c r="Q206" s="472"/>
      <c r="R206" s="20"/>
      <c r="S206" s="20"/>
      <c r="T206" s="472">
        <f t="shared" ref="T206:T211" si="151">P206+Q206</f>
        <v>0</v>
      </c>
      <c r="U206" s="472" t="e">
        <f t="shared" si="144"/>
        <v>#DIV/0!</v>
      </c>
      <c r="V206" s="472">
        <f t="shared" si="146"/>
        <v>0</v>
      </c>
      <c r="W206" s="472" t="e">
        <f t="shared" si="142"/>
        <v>#DIV/0!</v>
      </c>
      <c r="X206" s="472">
        <f t="shared" si="147"/>
        <v>158000</v>
      </c>
      <c r="Y206" s="517"/>
    </row>
    <row r="207" spans="1:53">
      <c r="A207" s="447"/>
      <c r="B207" s="475" t="s">
        <v>72</v>
      </c>
      <c r="C207" s="475" t="s">
        <v>73</v>
      </c>
      <c r="D207" s="475" t="s">
        <v>68</v>
      </c>
      <c r="E207" s="475" t="s">
        <v>68</v>
      </c>
      <c r="F207" s="475" t="s">
        <v>76</v>
      </c>
      <c r="G207" s="22" t="s">
        <v>179</v>
      </c>
      <c r="H207" s="22"/>
      <c r="I207" s="13">
        <v>2150000</v>
      </c>
      <c r="J207" s="13">
        <v>0</v>
      </c>
      <c r="K207" s="13">
        <v>0</v>
      </c>
      <c r="L207" s="13">
        <v>0</v>
      </c>
      <c r="M207" s="17">
        <v>2150000</v>
      </c>
      <c r="N207" s="20">
        <f t="shared" si="150"/>
        <v>0</v>
      </c>
      <c r="O207" s="136">
        <f t="shared" si="143"/>
        <v>0</v>
      </c>
      <c r="P207" s="20"/>
      <c r="Q207" s="472"/>
      <c r="R207" s="20"/>
      <c r="S207" s="20"/>
      <c r="T207" s="472">
        <f t="shared" si="151"/>
        <v>0</v>
      </c>
      <c r="U207" s="472" t="e">
        <f t="shared" si="144"/>
        <v>#DIV/0!</v>
      </c>
      <c r="V207" s="472">
        <f t="shared" si="146"/>
        <v>0</v>
      </c>
      <c r="W207" s="472" t="e">
        <f t="shared" si="142"/>
        <v>#DIV/0!</v>
      </c>
      <c r="X207" s="472">
        <f t="shared" si="147"/>
        <v>2150000</v>
      </c>
      <c r="Y207" s="517"/>
    </row>
    <row r="208" spans="1:53" ht="24">
      <c r="A208" s="447"/>
      <c r="B208" s="475" t="s">
        <v>72</v>
      </c>
      <c r="C208" s="475" t="s">
        <v>73</v>
      </c>
      <c r="D208" s="475" t="s">
        <v>68</v>
      </c>
      <c r="E208" s="475" t="s">
        <v>68</v>
      </c>
      <c r="F208" s="475" t="s">
        <v>190</v>
      </c>
      <c r="G208" s="22" t="s">
        <v>310</v>
      </c>
      <c r="H208" s="22"/>
      <c r="I208" s="13">
        <v>613000</v>
      </c>
      <c r="J208" s="13">
        <v>0</v>
      </c>
      <c r="K208" s="13">
        <v>0</v>
      </c>
      <c r="L208" s="13">
        <v>0</v>
      </c>
      <c r="M208" s="17">
        <v>613000</v>
      </c>
      <c r="N208" s="20">
        <f t="shared" si="150"/>
        <v>0</v>
      </c>
      <c r="O208" s="136">
        <f t="shared" si="143"/>
        <v>0</v>
      </c>
      <c r="P208" s="20"/>
      <c r="Q208" s="472"/>
      <c r="R208" s="20"/>
      <c r="S208" s="20"/>
      <c r="T208" s="472">
        <f t="shared" si="151"/>
        <v>0</v>
      </c>
      <c r="U208" s="472" t="e">
        <f t="shared" si="144"/>
        <v>#DIV/0!</v>
      </c>
      <c r="V208" s="472">
        <f t="shared" si="146"/>
        <v>0</v>
      </c>
      <c r="W208" s="472" t="e">
        <f t="shared" si="142"/>
        <v>#DIV/0!</v>
      </c>
      <c r="X208" s="472">
        <f t="shared" si="147"/>
        <v>613000</v>
      </c>
      <c r="Y208" s="517"/>
    </row>
    <row r="209" spans="1:53">
      <c r="A209" s="447"/>
      <c r="B209" s="475" t="s">
        <v>72</v>
      </c>
      <c r="C209" s="475" t="s">
        <v>73</v>
      </c>
      <c r="D209" s="475" t="s">
        <v>68</v>
      </c>
      <c r="E209" s="475" t="s">
        <v>68</v>
      </c>
      <c r="F209" s="475" t="s">
        <v>78</v>
      </c>
      <c r="G209" s="22" t="s">
        <v>79</v>
      </c>
      <c r="H209" s="22"/>
      <c r="I209" s="13">
        <v>10500000</v>
      </c>
      <c r="J209" s="13">
        <v>0</v>
      </c>
      <c r="K209" s="13">
        <v>0</v>
      </c>
      <c r="L209" s="13">
        <v>0</v>
      </c>
      <c r="M209" s="17">
        <v>10500000</v>
      </c>
      <c r="N209" s="20">
        <f t="shared" si="150"/>
        <v>0</v>
      </c>
      <c r="O209" s="136">
        <f t="shared" si="143"/>
        <v>0</v>
      </c>
      <c r="P209" s="20"/>
      <c r="Q209" s="472"/>
      <c r="R209" s="20"/>
      <c r="S209" s="20"/>
      <c r="T209" s="472">
        <f t="shared" si="151"/>
        <v>0</v>
      </c>
      <c r="U209" s="472" t="e">
        <f t="shared" si="144"/>
        <v>#DIV/0!</v>
      </c>
      <c r="V209" s="472">
        <f t="shared" si="146"/>
        <v>0</v>
      </c>
      <c r="W209" s="472" t="e">
        <f t="shared" si="142"/>
        <v>#DIV/0!</v>
      </c>
      <c r="X209" s="472">
        <f t="shared" si="147"/>
        <v>10500000</v>
      </c>
      <c r="Y209" s="517"/>
    </row>
    <row r="210" spans="1:53">
      <c r="A210" s="447"/>
      <c r="B210" s="475" t="s">
        <v>72</v>
      </c>
      <c r="C210" s="475" t="s">
        <v>73</v>
      </c>
      <c r="D210" s="475" t="s">
        <v>73</v>
      </c>
      <c r="E210" s="475" t="s">
        <v>80</v>
      </c>
      <c r="F210" s="475" t="s">
        <v>330</v>
      </c>
      <c r="G210" s="22" t="s">
        <v>331</v>
      </c>
      <c r="H210" s="22"/>
      <c r="I210" s="13">
        <v>1000000</v>
      </c>
      <c r="J210" s="13">
        <v>0</v>
      </c>
      <c r="K210" s="13">
        <v>0</v>
      </c>
      <c r="L210" s="13">
        <v>0</v>
      </c>
      <c r="M210" s="17">
        <v>1000000</v>
      </c>
      <c r="N210" s="20">
        <f t="shared" si="150"/>
        <v>0</v>
      </c>
      <c r="O210" s="136">
        <f t="shared" si="143"/>
        <v>0</v>
      </c>
      <c r="P210" s="20"/>
      <c r="Q210" s="472"/>
      <c r="R210" s="20"/>
      <c r="S210" s="20"/>
      <c r="T210" s="472">
        <f t="shared" si="151"/>
        <v>0</v>
      </c>
      <c r="U210" s="472" t="e">
        <f t="shared" si="144"/>
        <v>#DIV/0!</v>
      </c>
      <c r="V210" s="472">
        <f t="shared" si="146"/>
        <v>0</v>
      </c>
      <c r="W210" s="472" t="e">
        <f t="shared" si="142"/>
        <v>#DIV/0!</v>
      </c>
      <c r="X210" s="472">
        <f t="shared" si="147"/>
        <v>1000000</v>
      </c>
      <c r="Y210" s="517"/>
    </row>
    <row r="211" spans="1:53">
      <c r="A211" s="447"/>
      <c r="B211" s="475" t="s">
        <v>72</v>
      </c>
      <c r="C211" s="475" t="s">
        <v>73</v>
      </c>
      <c r="D211" s="475" t="s">
        <v>80</v>
      </c>
      <c r="E211" s="475" t="s">
        <v>68</v>
      </c>
      <c r="F211" s="475" t="s">
        <v>81</v>
      </c>
      <c r="G211" s="22" t="s">
        <v>82</v>
      </c>
      <c r="H211" s="22"/>
      <c r="I211" s="13">
        <v>4450000</v>
      </c>
      <c r="J211" s="13">
        <v>0</v>
      </c>
      <c r="K211" s="13">
        <v>0</v>
      </c>
      <c r="L211" s="13">
        <v>0</v>
      </c>
      <c r="M211" s="17">
        <v>4450000</v>
      </c>
      <c r="N211" s="20">
        <f t="shared" si="150"/>
        <v>0</v>
      </c>
      <c r="O211" s="136">
        <f t="shared" si="143"/>
        <v>0</v>
      </c>
      <c r="P211" s="20"/>
      <c r="Q211" s="472"/>
      <c r="R211" s="20"/>
      <c r="S211" s="20"/>
      <c r="T211" s="472">
        <f t="shared" si="151"/>
        <v>0</v>
      </c>
      <c r="U211" s="472" t="e">
        <f t="shared" si="144"/>
        <v>#DIV/0!</v>
      </c>
      <c r="V211" s="472">
        <f t="shared" si="146"/>
        <v>0</v>
      </c>
      <c r="W211" s="472" t="e">
        <f t="shared" si="142"/>
        <v>#DIV/0!</v>
      </c>
      <c r="X211" s="472">
        <f t="shared" si="147"/>
        <v>4450000</v>
      </c>
      <c r="Y211" s="517"/>
    </row>
    <row r="212" spans="1:53" s="226" customFormat="1" ht="24">
      <c r="A212" s="447"/>
      <c r="B212" s="489">
        <v>1</v>
      </c>
      <c r="C212" s="489" t="s">
        <v>66</v>
      </c>
      <c r="D212" s="489" t="s">
        <v>93</v>
      </c>
      <c r="E212" s="489" t="s">
        <v>108</v>
      </c>
      <c r="F212" s="489"/>
      <c r="G212" s="518" t="s">
        <v>193</v>
      </c>
      <c r="H212" s="518"/>
      <c r="I212" s="492">
        <f>I213+I221+I227+I235+I242</f>
        <v>755000000</v>
      </c>
      <c r="J212" s="492">
        <f t="shared" ref="J212:N212" si="152">J213+J221+J227+J235+J242</f>
        <v>192615000</v>
      </c>
      <c r="K212" s="492">
        <f t="shared" si="152"/>
        <v>212673200</v>
      </c>
      <c r="L212" s="492">
        <f t="shared" si="152"/>
        <v>197435050</v>
      </c>
      <c r="M212" s="492">
        <f t="shared" si="152"/>
        <v>152276750</v>
      </c>
      <c r="N212" s="492">
        <f t="shared" si="152"/>
        <v>405288200</v>
      </c>
      <c r="O212" s="136">
        <f t="shared" si="143"/>
        <v>53.680556291390722</v>
      </c>
      <c r="P212" s="32">
        <f>P213+P221+P227+P235+P242</f>
        <v>72000000</v>
      </c>
      <c r="Q212" s="466">
        <f t="shared" ref="Q212:T212" si="153">Q213+Q221+Q227+Q235+Q242</f>
        <v>178313500</v>
      </c>
      <c r="R212" s="32">
        <f t="shared" si="153"/>
        <v>0</v>
      </c>
      <c r="S212" s="32">
        <f t="shared" si="153"/>
        <v>0</v>
      </c>
      <c r="T212" s="32">
        <f t="shared" si="153"/>
        <v>250313500</v>
      </c>
      <c r="U212" s="472">
        <f t="shared" si="144"/>
        <v>61.761852429949847</v>
      </c>
      <c r="V212" s="472">
        <f t="shared" si="146"/>
        <v>154974700</v>
      </c>
      <c r="W212" s="472">
        <f t="shared" si="142"/>
        <v>38.238147570050153</v>
      </c>
      <c r="X212" s="472">
        <f t="shared" si="147"/>
        <v>504686500</v>
      </c>
      <c r="Y212" s="517"/>
      <c r="Z212" s="533"/>
      <c r="AA212" s="533"/>
      <c r="AB212" s="533"/>
      <c r="AC212" s="533"/>
      <c r="AD212" s="533"/>
      <c r="AE212" s="533"/>
      <c r="AF212" s="533"/>
      <c r="AG212" s="533"/>
      <c r="AH212" s="533"/>
      <c r="AI212" s="533"/>
      <c r="AJ212" s="533"/>
      <c r="AK212" s="533"/>
      <c r="AL212" s="533"/>
      <c r="AM212" s="533"/>
      <c r="AN212" s="533"/>
      <c r="AO212" s="533"/>
      <c r="AP212" s="533"/>
      <c r="AQ212" s="533"/>
      <c r="AR212" s="533"/>
      <c r="AS212" s="533"/>
      <c r="AT212" s="533"/>
      <c r="AU212" s="533"/>
      <c r="AV212" s="533"/>
      <c r="AW212" s="533"/>
      <c r="AX212" s="533"/>
      <c r="AY212" s="533"/>
      <c r="AZ212" s="533"/>
      <c r="BA212" s="533"/>
    </row>
    <row r="213" spans="1:53" s="484" customFormat="1" ht="24">
      <c r="A213" s="481">
        <v>34</v>
      </c>
      <c r="B213" s="482">
        <v>1</v>
      </c>
      <c r="C213" s="482" t="s">
        <v>66</v>
      </c>
      <c r="D213" s="482" t="s">
        <v>93</v>
      </c>
      <c r="E213" s="482" t="s">
        <v>108</v>
      </c>
      <c r="F213" s="482" t="s">
        <v>73</v>
      </c>
      <c r="G213" s="153" t="s">
        <v>194</v>
      </c>
      <c r="H213" s="147" t="s">
        <v>332</v>
      </c>
      <c r="I213" s="144">
        <f>SUM(I214:I220)</f>
        <v>625000000</v>
      </c>
      <c r="J213" s="144">
        <f t="shared" ref="J213:N213" si="154">SUM(J214:J220)</f>
        <v>160996500</v>
      </c>
      <c r="K213" s="144">
        <f t="shared" si="154"/>
        <v>164068500</v>
      </c>
      <c r="L213" s="144">
        <f t="shared" si="154"/>
        <v>162151500</v>
      </c>
      <c r="M213" s="144">
        <f t="shared" si="154"/>
        <v>137783500</v>
      </c>
      <c r="N213" s="144">
        <f t="shared" si="154"/>
        <v>325065000</v>
      </c>
      <c r="O213" s="154">
        <f t="shared" si="143"/>
        <v>52.010400000000004</v>
      </c>
      <c r="P213" s="519">
        <f>SUM(P214:P220)</f>
        <v>72000000</v>
      </c>
      <c r="Q213" s="520">
        <f t="shared" ref="Q213:T213" si="155">SUM(Q214:Q220)</f>
        <v>160318250</v>
      </c>
      <c r="R213" s="520">
        <f t="shared" si="155"/>
        <v>0</v>
      </c>
      <c r="S213" s="520">
        <f t="shared" si="155"/>
        <v>0</v>
      </c>
      <c r="T213" s="520">
        <f t="shared" si="155"/>
        <v>232318250</v>
      </c>
      <c r="U213" s="521">
        <f t="shared" si="144"/>
        <v>71.468244812575946</v>
      </c>
      <c r="V213" s="135">
        <f t="shared" si="146"/>
        <v>92746750</v>
      </c>
      <c r="W213" s="521">
        <f t="shared" si="142"/>
        <v>28.53175518742405</v>
      </c>
      <c r="X213" s="135">
        <f t="shared" si="147"/>
        <v>392681750</v>
      </c>
      <c r="Y213" s="522"/>
      <c r="Z213" s="540"/>
      <c r="AA213" s="540"/>
      <c r="AB213" s="540"/>
      <c r="AC213" s="540"/>
      <c r="AD213" s="540"/>
      <c r="AE213" s="540"/>
      <c r="AF213" s="540"/>
      <c r="AG213" s="540"/>
      <c r="AH213" s="540"/>
      <c r="AI213" s="540"/>
      <c r="AJ213" s="540"/>
      <c r="AK213" s="540"/>
      <c r="AL213" s="540"/>
      <c r="AM213" s="540"/>
      <c r="AN213" s="540"/>
      <c r="AO213" s="540"/>
      <c r="AP213" s="540"/>
      <c r="AQ213" s="540"/>
      <c r="AR213" s="540"/>
      <c r="AS213" s="540"/>
      <c r="AT213" s="540"/>
      <c r="AU213" s="540"/>
      <c r="AV213" s="540"/>
      <c r="AW213" s="540"/>
      <c r="AX213" s="540"/>
      <c r="AY213" s="540"/>
      <c r="AZ213" s="540"/>
      <c r="BA213" s="540"/>
    </row>
    <row r="214" spans="1:53">
      <c r="A214" s="447"/>
      <c r="B214" s="475">
        <v>5.0999999999999996</v>
      </c>
      <c r="C214" s="475" t="s">
        <v>73</v>
      </c>
      <c r="D214" s="475" t="s">
        <v>68</v>
      </c>
      <c r="E214" s="475" t="s">
        <v>68</v>
      </c>
      <c r="F214" s="475" t="s">
        <v>123</v>
      </c>
      <c r="G214" s="22" t="s">
        <v>124</v>
      </c>
      <c r="H214" s="22"/>
      <c r="I214" s="13">
        <v>8550000</v>
      </c>
      <c r="J214" s="13">
        <v>2137500</v>
      </c>
      <c r="K214" s="13">
        <v>2137500</v>
      </c>
      <c r="L214" s="13">
        <v>2137500</v>
      </c>
      <c r="M214" s="17">
        <v>2137500</v>
      </c>
      <c r="N214" s="20">
        <f>J214+K214</f>
        <v>4275000</v>
      </c>
      <c r="O214" s="136">
        <f t="shared" si="143"/>
        <v>50</v>
      </c>
      <c r="P214" s="20"/>
      <c r="Q214" s="472"/>
      <c r="R214" s="20"/>
      <c r="S214" s="20"/>
      <c r="T214" s="472">
        <f>P214+Q214</f>
        <v>0</v>
      </c>
      <c r="U214" s="472">
        <f t="shared" si="144"/>
        <v>0</v>
      </c>
      <c r="V214" s="472">
        <f t="shared" si="146"/>
        <v>4275000</v>
      </c>
      <c r="W214" s="472">
        <f t="shared" si="142"/>
        <v>100</v>
      </c>
      <c r="X214" s="472">
        <f t="shared" si="147"/>
        <v>8550000</v>
      </c>
      <c r="Y214" s="517"/>
    </row>
    <row r="215" spans="1:53" ht="24">
      <c r="A215" s="447"/>
      <c r="B215" s="475" t="s">
        <v>72</v>
      </c>
      <c r="C215" s="475" t="s">
        <v>73</v>
      </c>
      <c r="D215" s="475" t="s">
        <v>68</v>
      </c>
      <c r="E215" s="475" t="s">
        <v>68</v>
      </c>
      <c r="F215" s="475" t="s">
        <v>74</v>
      </c>
      <c r="G215" s="22" t="s">
        <v>188</v>
      </c>
      <c r="H215" s="22"/>
      <c r="I215" s="13">
        <v>536000</v>
      </c>
      <c r="J215" s="13">
        <v>268000</v>
      </c>
      <c r="K215" s="13">
        <v>0</v>
      </c>
      <c r="L215" s="13">
        <v>0</v>
      </c>
      <c r="M215" s="17">
        <v>268000</v>
      </c>
      <c r="N215" s="20">
        <f t="shared" ref="N215:N220" si="156">J215+K215</f>
        <v>268000</v>
      </c>
      <c r="O215" s="136">
        <f t="shared" si="143"/>
        <v>50</v>
      </c>
      <c r="P215" s="20"/>
      <c r="Q215" s="472"/>
      <c r="R215" s="20"/>
      <c r="S215" s="20"/>
      <c r="T215" s="472">
        <f t="shared" ref="T215:T220" si="157">P215+Q215</f>
        <v>0</v>
      </c>
      <c r="U215" s="472">
        <f t="shared" si="144"/>
        <v>0</v>
      </c>
      <c r="V215" s="472">
        <f t="shared" si="146"/>
        <v>268000</v>
      </c>
      <c r="W215" s="472">
        <f t="shared" si="142"/>
        <v>100</v>
      </c>
      <c r="X215" s="472">
        <f t="shared" si="147"/>
        <v>536000</v>
      </c>
      <c r="Y215" s="517"/>
    </row>
    <row r="216" spans="1:53" ht="24">
      <c r="A216" s="447"/>
      <c r="B216" s="475" t="s">
        <v>72</v>
      </c>
      <c r="C216" s="475" t="s">
        <v>73</v>
      </c>
      <c r="D216" s="475" t="s">
        <v>68</v>
      </c>
      <c r="E216" s="475" t="s">
        <v>68</v>
      </c>
      <c r="F216" s="475" t="s">
        <v>308</v>
      </c>
      <c r="G216" s="22" t="s">
        <v>309</v>
      </c>
      <c r="H216" s="22"/>
      <c r="I216" s="13">
        <v>574000</v>
      </c>
      <c r="J216" s="13">
        <v>574000</v>
      </c>
      <c r="K216" s="13">
        <v>0</v>
      </c>
      <c r="L216" s="13">
        <v>0</v>
      </c>
      <c r="M216" s="17">
        <v>0</v>
      </c>
      <c r="N216" s="20">
        <f t="shared" si="156"/>
        <v>574000</v>
      </c>
      <c r="O216" s="136">
        <f t="shared" si="143"/>
        <v>100</v>
      </c>
      <c r="P216" s="20"/>
      <c r="Q216" s="472"/>
      <c r="R216" s="20"/>
      <c r="S216" s="20"/>
      <c r="T216" s="472">
        <f t="shared" si="157"/>
        <v>0</v>
      </c>
      <c r="U216" s="472">
        <f t="shared" si="144"/>
        <v>0</v>
      </c>
      <c r="V216" s="472">
        <f t="shared" si="146"/>
        <v>574000</v>
      </c>
      <c r="W216" s="472">
        <f t="shared" si="142"/>
        <v>100</v>
      </c>
      <c r="X216" s="472">
        <f t="shared" si="147"/>
        <v>574000</v>
      </c>
      <c r="Y216" s="517"/>
    </row>
    <row r="217" spans="1:53" ht="24">
      <c r="A217" s="447"/>
      <c r="B217" s="475" t="s">
        <v>72</v>
      </c>
      <c r="C217" s="475" t="s">
        <v>73</v>
      </c>
      <c r="D217" s="475" t="s">
        <v>68</v>
      </c>
      <c r="E217" s="475" t="s">
        <v>68</v>
      </c>
      <c r="F217" s="475" t="s">
        <v>190</v>
      </c>
      <c r="G217" s="22" t="s">
        <v>310</v>
      </c>
      <c r="H217" s="22"/>
      <c r="I217" s="13">
        <v>400000</v>
      </c>
      <c r="J217" s="13">
        <v>400000</v>
      </c>
      <c r="K217" s="13">
        <v>0</v>
      </c>
      <c r="L217" s="13">
        <v>0</v>
      </c>
      <c r="M217" s="17">
        <v>0</v>
      </c>
      <c r="N217" s="20">
        <f t="shared" si="156"/>
        <v>400000</v>
      </c>
      <c r="O217" s="136">
        <f t="shared" si="143"/>
        <v>100</v>
      </c>
      <c r="P217" s="20"/>
      <c r="Q217" s="472"/>
      <c r="R217" s="20"/>
      <c r="S217" s="20"/>
      <c r="T217" s="472">
        <f t="shared" si="157"/>
        <v>0</v>
      </c>
      <c r="U217" s="472">
        <f t="shared" si="144"/>
        <v>0</v>
      </c>
      <c r="V217" s="472">
        <f t="shared" si="146"/>
        <v>400000</v>
      </c>
      <c r="W217" s="472">
        <f t="shared" si="142"/>
        <v>100</v>
      </c>
      <c r="X217" s="472">
        <f t="shared" si="147"/>
        <v>400000</v>
      </c>
      <c r="Y217" s="517"/>
    </row>
    <row r="218" spans="1:53">
      <c r="A218" s="447"/>
      <c r="B218" s="475">
        <v>5.0999999999999996</v>
      </c>
      <c r="C218" s="475" t="s">
        <v>73</v>
      </c>
      <c r="D218" s="475" t="s">
        <v>68</v>
      </c>
      <c r="E218" s="475" t="s">
        <v>68</v>
      </c>
      <c r="F218" s="475" t="s">
        <v>195</v>
      </c>
      <c r="G218" s="22" t="s">
        <v>196</v>
      </c>
      <c r="H218" s="22"/>
      <c r="I218" s="13">
        <v>152160000</v>
      </c>
      <c r="J218" s="13">
        <v>43200000</v>
      </c>
      <c r="K218" s="13">
        <v>43680000</v>
      </c>
      <c r="L218" s="13">
        <v>43680000</v>
      </c>
      <c r="M218" s="17">
        <v>21600000</v>
      </c>
      <c r="N218" s="20">
        <f t="shared" si="156"/>
        <v>86880000</v>
      </c>
      <c r="O218" s="136">
        <f t="shared" si="143"/>
        <v>57.097791798107252</v>
      </c>
      <c r="P218" s="20"/>
      <c r="Q218" s="472">
        <f>26160000+26700000</f>
        <v>52860000</v>
      </c>
      <c r="R218" s="20"/>
      <c r="S218" s="20"/>
      <c r="T218" s="472">
        <f t="shared" si="157"/>
        <v>52860000</v>
      </c>
      <c r="U218" s="472">
        <f t="shared" si="144"/>
        <v>60.842541436464096</v>
      </c>
      <c r="V218" s="472">
        <f t="shared" si="146"/>
        <v>34020000</v>
      </c>
      <c r="W218" s="472">
        <f t="shared" si="142"/>
        <v>39.157458563535911</v>
      </c>
      <c r="X218" s="523">
        <f t="shared" si="147"/>
        <v>99300000</v>
      </c>
      <c r="Y218" s="517"/>
    </row>
    <row r="219" spans="1:53">
      <c r="A219" s="447"/>
      <c r="B219" s="475">
        <v>5.0999999999999996</v>
      </c>
      <c r="C219" s="475" t="s">
        <v>73</v>
      </c>
      <c r="D219" s="475" t="s">
        <v>73</v>
      </c>
      <c r="E219" s="475" t="s">
        <v>68</v>
      </c>
      <c r="F219" s="478" t="s">
        <v>333</v>
      </c>
      <c r="G219" s="22" t="s">
        <v>334</v>
      </c>
      <c r="H219" s="22"/>
      <c r="I219" s="13">
        <v>450000000</v>
      </c>
      <c r="J219" s="13">
        <v>112500000</v>
      </c>
      <c r="K219" s="13">
        <v>112500000</v>
      </c>
      <c r="L219" s="13">
        <v>112500000</v>
      </c>
      <c r="M219" s="17">
        <v>112500000</v>
      </c>
      <c r="N219" s="20">
        <f t="shared" si="156"/>
        <v>225000000</v>
      </c>
      <c r="O219" s="136">
        <f t="shared" si="143"/>
        <v>50</v>
      </c>
      <c r="P219" s="20">
        <f>36000000+36000000</f>
        <v>72000000</v>
      </c>
      <c r="Q219" s="472">
        <f>35940000+36000000+34470000</f>
        <v>106410000</v>
      </c>
      <c r="R219" s="20"/>
      <c r="S219" s="20"/>
      <c r="T219" s="472">
        <f t="shared" si="157"/>
        <v>178410000</v>
      </c>
      <c r="U219" s="472">
        <f t="shared" si="144"/>
        <v>79.293333333333337</v>
      </c>
      <c r="V219" s="472">
        <f t="shared" si="146"/>
        <v>46590000</v>
      </c>
      <c r="W219" s="472">
        <f t="shared" si="142"/>
        <v>20.706666666666667</v>
      </c>
      <c r="X219" s="472">
        <f t="shared" si="147"/>
        <v>271590000</v>
      </c>
      <c r="Y219" s="517"/>
    </row>
    <row r="220" spans="1:53">
      <c r="A220" s="447"/>
      <c r="B220" s="475" t="s">
        <v>72</v>
      </c>
      <c r="C220" s="475" t="s">
        <v>73</v>
      </c>
      <c r="D220" s="475" t="s">
        <v>80</v>
      </c>
      <c r="E220" s="475" t="s">
        <v>68</v>
      </c>
      <c r="F220" s="475" t="s">
        <v>81</v>
      </c>
      <c r="G220" s="22" t="s">
        <v>82</v>
      </c>
      <c r="H220" s="22"/>
      <c r="I220" s="13">
        <v>12780000</v>
      </c>
      <c r="J220" s="13">
        <v>1917000</v>
      </c>
      <c r="K220" s="13">
        <v>5751000</v>
      </c>
      <c r="L220" s="13">
        <v>3834000</v>
      </c>
      <c r="M220" s="17">
        <v>1278000</v>
      </c>
      <c r="N220" s="20">
        <f t="shared" si="156"/>
        <v>7668000</v>
      </c>
      <c r="O220" s="136">
        <f t="shared" si="143"/>
        <v>60</v>
      </c>
      <c r="P220" s="20"/>
      <c r="Q220" s="472">
        <f>1048250</f>
        <v>1048250</v>
      </c>
      <c r="R220" s="20"/>
      <c r="S220" s="20"/>
      <c r="T220" s="472">
        <f t="shared" si="157"/>
        <v>1048250</v>
      </c>
      <c r="U220" s="472">
        <f t="shared" si="144"/>
        <v>13.670448617631717</v>
      </c>
      <c r="V220" s="472">
        <f t="shared" si="146"/>
        <v>6619750</v>
      </c>
      <c r="W220" s="472">
        <f t="shared" si="142"/>
        <v>86.32955138236828</v>
      </c>
      <c r="X220" s="472">
        <f t="shared" si="147"/>
        <v>11731750</v>
      </c>
      <c r="Y220" s="517"/>
    </row>
    <row r="221" spans="1:53" s="484" customFormat="1" ht="24">
      <c r="A221" s="481">
        <v>35</v>
      </c>
      <c r="B221" s="482">
        <v>1</v>
      </c>
      <c r="C221" s="482" t="s">
        <v>66</v>
      </c>
      <c r="D221" s="482" t="s">
        <v>93</v>
      </c>
      <c r="E221" s="482" t="s">
        <v>108</v>
      </c>
      <c r="F221" s="482" t="s">
        <v>93</v>
      </c>
      <c r="G221" s="153" t="s">
        <v>197</v>
      </c>
      <c r="H221" s="153"/>
      <c r="I221" s="144">
        <f>SUM(I222:I226)</f>
        <v>40000000</v>
      </c>
      <c r="J221" s="144">
        <f t="shared" ref="J221:N221" si="158">SUM(J222:J226)</f>
        <v>12496500</v>
      </c>
      <c r="K221" s="144">
        <f t="shared" si="158"/>
        <v>15362000</v>
      </c>
      <c r="L221" s="144">
        <f t="shared" si="158"/>
        <v>8264800</v>
      </c>
      <c r="M221" s="144">
        <f t="shared" si="158"/>
        <v>3876700</v>
      </c>
      <c r="N221" s="144">
        <f t="shared" si="158"/>
        <v>27858500</v>
      </c>
      <c r="O221" s="154">
        <f t="shared" si="143"/>
        <v>69.646249999999995</v>
      </c>
      <c r="P221" s="483">
        <f>SUM(P222:P226)</f>
        <v>0</v>
      </c>
      <c r="Q221" s="134">
        <f t="shared" ref="Q221:T221" si="159">SUM(Q222:Q226)</f>
        <v>6834750</v>
      </c>
      <c r="R221" s="134">
        <f t="shared" si="159"/>
        <v>0</v>
      </c>
      <c r="S221" s="134">
        <f t="shared" si="159"/>
        <v>0</v>
      </c>
      <c r="T221" s="134">
        <f t="shared" si="159"/>
        <v>6834750</v>
      </c>
      <c r="U221" s="521">
        <f t="shared" si="144"/>
        <v>24.533804763357683</v>
      </c>
      <c r="V221" s="135">
        <f t="shared" si="146"/>
        <v>21023750</v>
      </c>
      <c r="W221" s="521">
        <f t="shared" si="142"/>
        <v>75.466195236642321</v>
      </c>
      <c r="X221" s="135">
        <f t="shared" si="147"/>
        <v>33165250</v>
      </c>
      <c r="Y221" s="522"/>
      <c r="Z221" s="540"/>
      <c r="AA221" s="540"/>
      <c r="AB221" s="540"/>
      <c r="AC221" s="540"/>
      <c r="AD221" s="540"/>
      <c r="AE221" s="540"/>
      <c r="AF221" s="540"/>
      <c r="AG221" s="540"/>
      <c r="AH221" s="540"/>
      <c r="AI221" s="540"/>
      <c r="AJ221" s="540"/>
      <c r="AK221" s="540"/>
      <c r="AL221" s="540"/>
      <c r="AM221" s="540"/>
      <c r="AN221" s="540"/>
      <c r="AO221" s="540"/>
      <c r="AP221" s="540"/>
      <c r="AQ221" s="540"/>
      <c r="AR221" s="540"/>
      <c r="AS221" s="540"/>
      <c r="AT221" s="540"/>
      <c r="AU221" s="540"/>
      <c r="AV221" s="540"/>
      <c r="AW221" s="540"/>
      <c r="AX221" s="540"/>
      <c r="AY221" s="540"/>
      <c r="AZ221" s="540"/>
      <c r="BA221" s="540"/>
    </row>
    <row r="222" spans="1:53">
      <c r="A222" s="447"/>
      <c r="B222" s="475">
        <v>5.0999999999999996</v>
      </c>
      <c r="C222" s="475" t="s">
        <v>73</v>
      </c>
      <c r="D222" s="475" t="s">
        <v>68</v>
      </c>
      <c r="E222" s="475" t="s">
        <v>68</v>
      </c>
      <c r="F222" s="475" t="s">
        <v>123</v>
      </c>
      <c r="G222" s="22" t="s">
        <v>198</v>
      </c>
      <c r="H222" s="22"/>
      <c r="I222" s="13">
        <v>15170000</v>
      </c>
      <c r="J222" s="13">
        <v>5309500</v>
      </c>
      <c r="K222" s="13">
        <v>4551000</v>
      </c>
      <c r="L222" s="13">
        <v>3640800</v>
      </c>
      <c r="M222" s="17">
        <v>1668700</v>
      </c>
      <c r="N222" s="20">
        <f>J222+K222</f>
        <v>9860500</v>
      </c>
      <c r="O222" s="136">
        <f t="shared" si="143"/>
        <v>65</v>
      </c>
      <c r="P222" s="20"/>
      <c r="Q222" s="472"/>
      <c r="R222" s="20"/>
      <c r="S222" s="20"/>
      <c r="T222" s="472">
        <f>P222+Q222</f>
        <v>0</v>
      </c>
      <c r="U222" s="472">
        <f t="shared" si="144"/>
        <v>0</v>
      </c>
      <c r="V222" s="472">
        <f t="shared" si="146"/>
        <v>9860500</v>
      </c>
      <c r="W222" s="472">
        <f t="shared" si="142"/>
        <v>100</v>
      </c>
      <c r="X222" s="472">
        <f t="shared" si="147"/>
        <v>15170000</v>
      </c>
      <c r="Y222" s="517"/>
    </row>
    <row r="223" spans="1:53">
      <c r="A223" s="447"/>
      <c r="B223" s="475">
        <v>5.0999999999999996</v>
      </c>
      <c r="C223" s="475" t="s">
        <v>73</v>
      </c>
      <c r="D223" s="475" t="s">
        <v>68</v>
      </c>
      <c r="E223" s="475" t="s">
        <v>68</v>
      </c>
      <c r="F223" s="475" t="s">
        <v>78</v>
      </c>
      <c r="G223" s="22" t="s">
        <v>79</v>
      </c>
      <c r="H223" s="22"/>
      <c r="I223" s="13">
        <v>1750000</v>
      </c>
      <c r="J223" s="13">
        <v>437500</v>
      </c>
      <c r="K223" s="13">
        <v>437500</v>
      </c>
      <c r="L223" s="13">
        <v>437500</v>
      </c>
      <c r="M223" s="17">
        <v>437500</v>
      </c>
      <c r="N223" s="20">
        <f t="shared" ref="N223:N226" si="160">J223+K223</f>
        <v>875000</v>
      </c>
      <c r="O223" s="136">
        <f t="shared" si="143"/>
        <v>50</v>
      </c>
      <c r="P223" s="20"/>
      <c r="Q223" s="472"/>
      <c r="R223" s="20"/>
      <c r="S223" s="20"/>
      <c r="T223" s="472">
        <f t="shared" ref="T223:T226" si="161">P223+Q223</f>
        <v>0</v>
      </c>
      <c r="U223" s="472">
        <f t="shared" si="144"/>
        <v>0</v>
      </c>
      <c r="V223" s="472">
        <f t="shared" si="146"/>
        <v>875000</v>
      </c>
      <c r="W223" s="472">
        <f t="shared" si="142"/>
        <v>100</v>
      </c>
      <c r="X223" s="472">
        <f t="shared" si="147"/>
        <v>1750000</v>
      </c>
      <c r="Y223" s="517"/>
    </row>
    <row r="224" spans="1:53">
      <c r="A224" s="447"/>
      <c r="B224" s="475">
        <v>5.0999999999999996</v>
      </c>
      <c r="C224" s="475" t="s">
        <v>73</v>
      </c>
      <c r="D224" s="475" t="s">
        <v>68</v>
      </c>
      <c r="E224" s="475" t="s">
        <v>68</v>
      </c>
      <c r="F224" s="475" t="s">
        <v>132</v>
      </c>
      <c r="G224" s="22" t="s">
        <v>133</v>
      </c>
      <c r="H224" s="22"/>
      <c r="I224" s="13">
        <v>2250000</v>
      </c>
      <c r="J224" s="13">
        <v>562500</v>
      </c>
      <c r="K224" s="13">
        <v>562500</v>
      </c>
      <c r="L224" s="13">
        <v>562500</v>
      </c>
      <c r="M224" s="17">
        <v>562500</v>
      </c>
      <c r="N224" s="20">
        <f t="shared" si="160"/>
        <v>1125000</v>
      </c>
      <c r="O224" s="136">
        <f t="shared" si="143"/>
        <v>50</v>
      </c>
      <c r="P224" s="20"/>
      <c r="Q224" s="472"/>
      <c r="R224" s="20"/>
      <c r="S224" s="20"/>
      <c r="T224" s="472">
        <f t="shared" si="161"/>
        <v>0</v>
      </c>
      <c r="U224" s="472">
        <f t="shared" si="144"/>
        <v>0</v>
      </c>
      <c r="V224" s="472">
        <f t="shared" si="146"/>
        <v>1125000</v>
      </c>
      <c r="W224" s="472">
        <f t="shared" si="142"/>
        <v>100</v>
      </c>
      <c r="X224" s="472">
        <f t="shared" si="147"/>
        <v>2250000</v>
      </c>
      <c r="Y224" s="517"/>
    </row>
    <row r="225" spans="1:53">
      <c r="A225" s="447"/>
      <c r="B225" s="475">
        <v>5.0999999999999996</v>
      </c>
      <c r="C225" s="475" t="s">
        <v>73</v>
      </c>
      <c r="D225" s="475" t="s">
        <v>68</v>
      </c>
      <c r="E225" s="475" t="s">
        <v>68</v>
      </c>
      <c r="F225" s="475" t="s">
        <v>195</v>
      </c>
      <c r="G225" s="22" t="s">
        <v>196</v>
      </c>
      <c r="H225" s="22"/>
      <c r="I225" s="13">
        <v>8750000</v>
      </c>
      <c r="J225" s="13">
        <v>4375000</v>
      </c>
      <c r="K225" s="13">
        <v>4375000</v>
      </c>
      <c r="L225" s="13">
        <v>0</v>
      </c>
      <c r="M225" s="17">
        <v>0</v>
      </c>
      <c r="N225" s="20">
        <f t="shared" si="160"/>
        <v>8750000</v>
      </c>
      <c r="O225" s="136">
        <f t="shared" si="143"/>
        <v>100</v>
      </c>
      <c r="P225" s="20"/>
      <c r="Q225" s="472"/>
      <c r="R225" s="20"/>
      <c r="S225" s="20"/>
      <c r="T225" s="472">
        <f t="shared" si="161"/>
        <v>0</v>
      </c>
      <c r="U225" s="472">
        <f t="shared" si="144"/>
        <v>0</v>
      </c>
      <c r="V225" s="472">
        <f t="shared" si="146"/>
        <v>8750000</v>
      </c>
      <c r="W225" s="472">
        <f t="shared" si="142"/>
        <v>100</v>
      </c>
      <c r="X225" s="472">
        <f t="shared" si="147"/>
        <v>8750000</v>
      </c>
      <c r="Y225" s="517"/>
    </row>
    <row r="226" spans="1:53">
      <c r="A226" s="447"/>
      <c r="B226" s="475" t="s">
        <v>72</v>
      </c>
      <c r="C226" s="475" t="s">
        <v>73</v>
      </c>
      <c r="D226" s="475" t="s">
        <v>80</v>
      </c>
      <c r="E226" s="475" t="s">
        <v>68</v>
      </c>
      <c r="F226" s="475" t="s">
        <v>81</v>
      </c>
      <c r="G226" s="22" t="s">
        <v>82</v>
      </c>
      <c r="H226" s="22"/>
      <c r="I226" s="13">
        <v>12080000</v>
      </c>
      <c r="J226" s="13">
        <v>1812000</v>
      </c>
      <c r="K226" s="13">
        <v>5436000</v>
      </c>
      <c r="L226" s="13">
        <v>3624000</v>
      </c>
      <c r="M226" s="17">
        <v>1208000</v>
      </c>
      <c r="N226" s="20">
        <f t="shared" si="160"/>
        <v>7248000</v>
      </c>
      <c r="O226" s="136">
        <f t="shared" si="143"/>
        <v>60</v>
      </c>
      <c r="P226" s="20"/>
      <c r="Q226" s="472">
        <f>6834750</f>
        <v>6834750</v>
      </c>
      <c r="R226" s="20"/>
      <c r="S226" s="20"/>
      <c r="T226" s="472">
        <f t="shared" si="161"/>
        <v>6834750</v>
      </c>
      <c r="U226" s="472">
        <f t="shared" si="144"/>
        <v>94.298427152317871</v>
      </c>
      <c r="V226" s="472">
        <f t="shared" si="146"/>
        <v>413250</v>
      </c>
      <c r="W226" s="472">
        <f t="shared" si="142"/>
        <v>5.7015728476821197</v>
      </c>
      <c r="X226" s="472">
        <f t="shared" si="147"/>
        <v>5245250</v>
      </c>
      <c r="Y226" s="517"/>
    </row>
    <row r="227" spans="1:53" s="484" customFormat="1" ht="24">
      <c r="A227" s="481">
        <v>36</v>
      </c>
      <c r="B227" s="482">
        <v>1</v>
      </c>
      <c r="C227" s="482" t="s">
        <v>66</v>
      </c>
      <c r="D227" s="482" t="s">
        <v>93</v>
      </c>
      <c r="E227" s="482" t="s">
        <v>108</v>
      </c>
      <c r="F227" s="482" t="s">
        <v>80</v>
      </c>
      <c r="G227" s="153" t="s">
        <v>199</v>
      </c>
      <c r="H227" s="153"/>
      <c r="I227" s="144">
        <f>SUM(I228:I234)</f>
        <v>40000000</v>
      </c>
      <c r="J227" s="144">
        <f t="shared" ref="J227:N227" si="162">SUM(J228:J234)</f>
        <v>9924000</v>
      </c>
      <c r="K227" s="144">
        <f t="shared" si="162"/>
        <v>15532200</v>
      </c>
      <c r="L227" s="144">
        <f t="shared" si="162"/>
        <v>11736500</v>
      </c>
      <c r="M227" s="144">
        <f t="shared" si="162"/>
        <v>2807300</v>
      </c>
      <c r="N227" s="144">
        <f t="shared" si="162"/>
        <v>25456200</v>
      </c>
      <c r="O227" s="154">
        <f t="shared" si="143"/>
        <v>63.640500000000003</v>
      </c>
      <c r="P227" s="483">
        <f>SUM(P228:P234)</f>
        <v>0</v>
      </c>
      <c r="Q227" s="134">
        <f t="shared" ref="Q227:T227" si="163">SUM(Q228:Q234)</f>
        <v>11160500</v>
      </c>
      <c r="R227" s="134">
        <f t="shared" si="163"/>
        <v>0</v>
      </c>
      <c r="S227" s="134">
        <f t="shared" si="163"/>
        <v>0</v>
      </c>
      <c r="T227" s="134">
        <f t="shared" si="163"/>
        <v>11160500</v>
      </c>
      <c r="U227" s="521">
        <f t="shared" si="144"/>
        <v>43.841971700410902</v>
      </c>
      <c r="V227" s="135">
        <f t="shared" si="146"/>
        <v>14295700</v>
      </c>
      <c r="W227" s="521">
        <f t="shared" si="142"/>
        <v>56.158028299589105</v>
      </c>
      <c r="X227" s="135">
        <f t="shared" si="147"/>
        <v>28839500</v>
      </c>
      <c r="Y227" s="522"/>
      <c r="Z227" s="540"/>
      <c r="AA227" s="540"/>
      <c r="AB227" s="540"/>
      <c r="AC227" s="540"/>
      <c r="AD227" s="540"/>
      <c r="AE227" s="540"/>
      <c r="AF227" s="540"/>
      <c r="AG227" s="540"/>
      <c r="AH227" s="540"/>
      <c r="AI227" s="540"/>
      <c r="AJ227" s="540"/>
      <c r="AK227" s="540"/>
      <c r="AL227" s="540"/>
      <c r="AM227" s="540"/>
      <c r="AN227" s="540"/>
      <c r="AO227" s="540"/>
      <c r="AP227" s="540"/>
      <c r="AQ227" s="540"/>
      <c r="AR227" s="540"/>
      <c r="AS227" s="540"/>
      <c r="AT227" s="540"/>
      <c r="AU227" s="540"/>
      <c r="AV227" s="540"/>
      <c r="AW227" s="540"/>
      <c r="AX227" s="540"/>
      <c r="AY227" s="540"/>
      <c r="AZ227" s="540"/>
      <c r="BA227" s="540"/>
    </row>
    <row r="228" spans="1:53">
      <c r="A228" s="447"/>
      <c r="B228" s="475">
        <v>5.0999999999999996</v>
      </c>
      <c r="C228" s="475" t="s">
        <v>73</v>
      </c>
      <c r="D228" s="475" t="s">
        <v>68</v>
      </c>
      <c r="E228" s="475" t="s">
        <v>68</v>
      </c>
      <c r="F228" s="475" t="s">
        <v>125</v>
      </c>
      <c r="G228" s="22" t="s">
        <v>126</v>
      </c>
      <c r="H228" s="22"/>
      <c r="I228" s="13">
        <v>8500000</v>
      </c>
      <c r="J228" s="13">
        <v>1700000</v>
      </c>
      <c r="K228" s="13">
        <v>3400000</v>
      </c>
      <c r="L228" s="13">
        <v>1700000</v>
      </c>
      <c r="M228" s="17">
        <v>1700000</v>
      </c>
      <c r="N228" s="20">
        <f>J228+K228</f>
        <v>5100000</v>
      </c>
      <c r="O228" s="136">
        <f t="shared" si="143"/>
        <v>60</v>
      </c>
      <c r="P228" s="20"/>
      <c r="Q228" s="472"/>
      <c r="R228" s="20"/>
      <c r="S228" s="20"/>
      <c r="T228" s="466">
        <f>P228+Q228</f>
        <v>0</v>
      </c>
      <c r="U228" s="472">
        <f t="shared" si="144"/>
        <v>0</v>
      </c>
      <c r="V228" s="472">
        <f t="shared" si="146"/>
        <v>5100000</v>
      </c>
      <c r="W228" s="472">
        <f t="shared" si="142"/>
        <v>100</v>
      </c>
      <c r="X228" s="472">
        <f t="shared" si="147"/>
        <v>8500000</v>
      </c>
      <c r="Y228" s="517"/>
    </row>
    <row r="229" spans="1:53" ht="24">
      <c r="A229" s="447"/>
      <c r="B229" s="475" t="s">
        <v>72</v>
      </c>
      <c r="C229" s="475" t="s">
        <v>73</v>
      </c>
      <c r="D229" s="475" t="s">
        <v>68</v>
      </c>
      <c r="E229" s="475" t="s">
        <v>68</v>
      </c>
      <c r="F229" s="475" t="s">
        <v>74</v>
      </c>
      <c r="G229" s="22" t="s">
        <v>188</v>
      </c>
      <c r="H229" s="22"/>
      <c r="I229" s="13">
        <v>108000</v>
      </c>
      <c r="J229" s="13">
        <v>108000</v>
      </c>
      <c r="K229" s="13">
        <v>0</v>
      </c>
      <c r="L229" s="13">
        <v>0</v>
      </c>
      <c r="M229" s="17">
        <v>0</v>
      </c>
      <c r="N229" s="20">
        <f t="shared" ref="N229:N234" si="164">J229+K229</f>
        <v>108000</v>
      </c>
      <c r="O229" s="136">
        <f t="shared" si="143"/>
        <v>100</v>
      </c>
      <c r="P229" s="20"/>
      <c r="Q229" s="472"/>
      <c r="R229" s="20"/>
      <c r="S229" s="20"/>
      <c r="T229" s="466">
        <f t="shared" ref="T229:T234" si="165">P229+Q229</f>
        <v>0</v>
      </c>
      <c r="U229" s="472">
        <f t="shared" si="144"/>
        <v>0</v>
      </c>
      <c r="V229" s="472">
        <f t="shared" si="146"/>
        <v>108000</v>
      </c>
      <c r="W229" s="472">
        <f t="shared" si="142"/>
        <v>100</v>
      </c>
      <c r="X229" s="472">
        <f t="shared" si="147"/>
        <v>108000</v>
      </c>
      <c r="Y229" s="517"/>
    </row>
    <row r="230" spans="1:53" ht="24">
      <c r="A230" s="447"/>
      <c r="B230" s="475" t="s">
        <v>72</v>
      </c>
      <c r="C230" s="475" t="s">
        <v>73</v>
      </c>
      <c r="D230" s="475" t="s">
        <v>68</v>
      </c>
      <c r="E230" s="475" t="s">
        <v>68</v>
      </c>
      <c r="F230" s="475" t="s">
        <v>308</v>
      </c>
      <c r="G230" s="22" t="s">
        <v>309</v>
      </c>
      <c r="H230" s="22"/>
      <c r="I230" s="13">
        <v>734000</v>
      </c>
      <c r="J230" s="13">
        <v>734000</v>
      </c>
      <c r="K230" s="13">
        <v>0</v>
      </c>
      <c r="L230" s="13">
        <v>0</v>
      </c>
      <c r="M230" s="17">
        <v>0</v>
      </c>
      <c r="N230" s="20">
        <f t="shared" si="164"/>
        <v>734000</v>
      </c>
      <c r="O230" s="136">
        <f t="shared" si="143"/>
        <v>100</v>
      </c>
      <c r="P230" s="20"/>
      <c r="Q230" s="472"/>
      <c r="R230" s="20"/>
      <c r="S230" s="20"/>
      <c r="T230" s="466">
        <f t="shared" si="165"/>
        <v>0</v>
      </c>
      <c r="U230" s="472">
        <f t="shared" si="144"/>
        <v>0</v>
      </c>
      <c r="V230" s="472">
        <f t="shared" si="146"/>
        <v>734000</v>
      </c>
      <c r="W230" s="472">
        <f t="shared" si="142"/>
        <v>100</v>
      </c>
      <c r="X230" s="472">
        <f t="shared" si="147"/>
        <v>734000</v>
      </c>
      <c r="Y230" s="517"/>
    </row>
    <row r="231" spans="1:53" ht="24">
      <c r="A231" s="447"/>
      <c r="B231" s="475" t="s">
        <v>72</v>
      </c>
      <c r="C231" s="475" t="s">
        <v>73</v>
      </c>
      <c r="D231" s="475" t="s">
        <v>68</v>
      </c>
      <c r="E231" s="475" t="s">
        <v>68</v>
      </c>
      <c r="F231" s="475" t="s">
        <v>190</v>
      </c>
      <c r="G231" s="22" t="s">
        <v>310</v>
      </c>
      <c r="H231" s="22"/>
      <c r="I231" s="13">
        <v>703000</v>
      </c>
      <c r="J231" s="13">
        <v>0</v>
      </c>
      <c r="K231" s="13">
        <v>703000</v>
      </c>
      <c r="L231" s="13">
        <v>0</v>
      </c>
      <c r="M231" s="17">
        <v>0</v>
      </c>
      <c r="N231" s="20">
        <f t="shared" si="164"/>
        <v>703000</v>
      </c>
      <c r="O231" s="136">
        <f t="shared" si="143"/>
        <v>100</v>
      </c>
      <c r="P231" s="20"/>
      <c r="Q231" s="472"/>
      <c r="R231" s="20"/>
      <c r="S231" s="20"/>
      <c r="T231" s="466">
        <f t="shared" si="165"/>
        <v>0</v>
      </c>
      <c r="U231" s="472">
        <f t="shared" si="144"/>
        <v>0</v>
      </c>
      <c r="V231" s="472">
        <f t="shared" si="146"/>
        <v>703000</v>
      </c>
      <c r="W231" s="472">
        <f t="shared" si="142"/>
        <v>100</v>
      </c>
      <c r="X231" s="472">
        <f t="shared" si="147"/>
        <v>703000</v>
      </c>
      <c r="Y231" s="517"/>
    </row>
    <row r="232" spans="1:53">
      <c r="A232" s="447"/>
      <c r="B232" s="475">
        <v>5.0999999999999996</v>
      </c>
      <c r="C232" s="475" t="s">
        <v>73</v>
      </c>
      <c r="D232" s="475" t="s">
        <v>73</v>
      </c>
      <c r="E232" s="475" t="s">
        <v>68</v>
      </c>
      <c r="F232" s="475" t="s">
        <v>146</v>
      </c>
      <c r="G232" s="22" t="s">
        <v>147</v>
      </c>
      <c r="H232" s="22"/>
      <c r="I232" s="13">
        <v>7000000</v>
      </c>
      <c r="J232" s="13">
        <v>0</v>
      </c>
      <c r="K232" s="13">
        <v>7000000</v>
      </c>
      <c r="L232" s="13">
        <v>0</v>
      </c>
      <c r="M232" s="17">
        <v>0</v>
      </c>
      <c r="N232" s="20">
        <f t="shared" si="164"/>
        <v>7000000</v>
      </c>
      <c r="O232" s="136">
        <f t="shared" si="143"/>
        <v>100</v>
      </c>
      <c r="P232" s="20"/>
      <c r="Q232" s="472"/>
      <c r="R232" s="20"/>
      <c r="S232" s="20"/>
      <c r="T232" s="466">
        <f t="shared" si="165"/>
        <v>0</v>
      </c>
      <c r="U232" s="472">
        <f t="shared" si="144"/>
        <v>0</v>
      </c>
      <c r="V232" s="472">
        <f t="shared" si="146"/>
        <v>7000000</v>
      </c>
      <c r="W232" s="472">
        <f t="shared" si="142"/>
        <v>100</v>
      </c>
      <c r="X232" s="472">
        <f t="shared" si="147"/>
        <v>7000000</v>
      </c>
      <c r="Y232" s="517"/>
    </row>
    <row r="233" spans="1:53">
      <c r="A233" s="447"/>
      <c r="B233" s="475">
        <v>5.0999999999999996</v>
      </c>
      <c r="C233" s="475" t="s">
        <v>73</v>
      </c>
      <c r="D233" s="475" t="s">
        <v>73</v>
      </c>
      <c r="E233" s="475" t="s">
        <v>80</v>
      </c>
      <c r="F233" s="475" t="s">
        <v>182</v>
      </c>
      <c r="G233" s="22" t="s">
        <v>200</v>
      </c>
      <c r="H233" s="22"/>
      <c r="I233" s="13">
        <v>4500000</v>
      </c>
      <c r="J233" s="13">
        <v>0</v>
      </c>
      <c r="K233" s="13">
        <v>0</v>
      </c>
      <c r="L233" s="13">
        <v>4500000</v>
      </c>
      <c r="M233" s="17">
        <v>0</v>
      </c>
      <c r="N233" s="20">
        <f t="shared" si="164"/>
        <v>0</v>
      </c>
      <c r="O233" s="136">
        <f t="shared" si="143"/>
        <v>0</v>
      </c>
      <c r="P233" s="20"/>
      <c r="Q233" s="472"/>
      <c r="R233" s="20"/>
      <c r="S233" s="20"/>
      <c r="T233" s="466">
        <f t="shared" si="165"/>
        <v>0</v>
      </c>
      <c r="U233" s="472" t="e">
        <f t="shared" si="144"/>
        <v>#DIV/0!</v>
      </c>
      <c r="V233" s="472">
        <f t="shared" si="146"/>
        <v>0</v>
      </c>
      <c r="W233" s="472" t="e">
        <f t="shared" si="142"/>
        <v>#DIV/0!</v>
      </c>
      <c r="X233" s="472">
        <f t="shared" si="147"/>
        <v>4500000</v>
      </c>
      <c r="Y233" s="517"/>
    </row>
    <row r="234" spans="1:53">
      <c r="A234" s="447"/>
      <c r="B234" s="475" t="s">
        <v>72</v>
      </c>
      <c r="C234" s="475" t="s">
        <v>73</v>
      </c>
      <c r="D234" s="475" t="s">
        <v>80</v>
      </c>
      <c r="E234" s="475" t="s">
        <v>68</v>
      </c>
      <c r="F234" s="475" t="s">
        <v>81</v>
      </c>
      <c r="G234" s="22" t="s">
        <v>82</v>
      </c>
      <c r="H234" s="22"/>
      <c r="I234" s="13">
        <v>18455000</v>
      </c>
      <c r="J234" s="13">
        <v>7382000</v>
      </c>
      <c r="K234" s="13">
        <v>4429200</v>
      </c>
      <c r="L234" s="13">
        <v>5536500</v>
      </c>
      <c r="M234" s="17">
        <v>1107300</v>
      </c>
      <c r="N234" s="20">
        <f t="shared" si="164"/>
        <v>11811200</v>
      </c>
      <c r="O234" s="136">
        <f t="shared" si="143"/>
        <v>64</v>
      </c>
      <c r="P234" s="20"/>
      <c r="Q234" s="472">
        <f>9985000+1175500</f>
        <v>11160500</v>
      </c>
      <c r="R234" s="20"/>
      <c r="S234" s="20"/>
      <c r="T234" s="466">
        <f t="shared" si="165"/>
        <v>11160500</v>
      </c>
      <c r="U234" s="472">
        <f t="shared" si="144"/>
        <v>94.490822270387426</v>
      </c>
      <c r="V234" s="472">
        <f t="shared" si="146"/>
        <v>650700</v>
      </c>
      <c r="W234" s="472">
        <f t="shared" si="142"/>
        <v>5.5091777296125706</v>
      </c>
      <c r="X234" s="472">
        <f t="shared" si="147"/>
        <v>7294500</v>
      </c>
      <c r="Y234" s="517"/>
    </row>
    <row r="235" spans="1:53" s="484" customFormat="1" ht="24">
      <c r="A235" s="481">
        <v>37</v>
      </c>
      <c r="B235" s="482">
        <v>1</v>
      </c>
      <c r="C235" s="482" t="s">
        <v>66</v>
      </c>
      <c r="D235" s="482" t="s">
        <v>93</v>
      </c>
      <c r="E235" s="482" t="s">
        <v>108</v>
      </c>
      <c r="F235" s="482" t="s">
        <v>66</v>
      </c>
      <c r="G235" s="153" t="s">
        <v>201</v>
      </c>
      <c r="H235" s="153"/>
      <c r="I235" s="144">
        <f>SUM(I236:I241)</f>
        <v>20000000</v>
      </c>
      <c r="J235" s="144">
        <f t="shared" ref="J235:N235" si="166">SUM(J236:J241)</f>
        <v>4792750</v>
      </c>
      <c r="K235" s="144">
        <f t="shared" si="166"/>
        <v>5237750</v>
      </c>
      <c r="L235" s="144">
        <f t="shared" si="166"/>
        <v>4315750</v>
      </c>
      <c r="M235" s="144">
        <f t="shared" si="166"/>
        <v>5653750</v>
      </c>
      <c r="N235" s="144">
        <f t="shared" si="166"/>
        <v>10030500</v>
      </c>
      <c r="O235" s="154">
        <f t="shared" si="143"/>
        <v>50.152500000000003</v>
      </c>
      <c r="P235" s="483">
        <f>SUM(P236:P241)</f>
        <v>0</v>
      </c>
      <c r="Q235" s="134">
        <f t="shared" ref="Q235:T235" si="167">SUM(Q236:Q241)</f>
        <v>0</v>
      </c>
      <c r="R235" s="134">
        <f t="shared" si="167"/>
        <v>0</v>
      </c>
      <c r="S235" s="134">
        <f t="shared" si="167"/>
        <v>0</v>
      </c>
      <c r="T235" s="134">
        <f t="shared" si="167"/>
        <v>0</v>
      </c>
      <c r="U235" s="521">
        <f t="shared" si="144"/>
        <v>0</v>
      </c>
      <c r="V235" s="135">
        <f t="shared" si="146"/>
        <v>10030500</v>
      </c>
      <c r="W235" s="521">
        <f t="shared" si="142"/>
        <v>100</v>
      </c>
      <c r="X235" s="135">
        <f t="shared" si="147"/>
        <v>20000000</v>
      </c>
      <c r="Y235" s="522"/>
      <c r="Z235" s="540"/>
      <c r="AA235" s="540"/>
      <c r="AB235" s="540"/>
      <c r="AC235" s="540"/>
      <c r="AD235" s="540"/>
      <c r="AE235" s="540"/>
      <c r="AF235" s="540"/>
      <c r="AG235" s="540"/>
      <c r="AH235" s="540"/>
      <c r="AI235" s="540"/>
      <c r="AJ235" s="540"/>
      <c r="AK235" s="540"/>
      <c r="AL235" s="540"/>
      <c r="AM235" s="540"/>
      <c r="AN235" s="540"/>
      <c r="AO235" s="540"/>
      <c r="AP235" s="540"/>
      <c r="AQ235" s="540"/>
      <c r="AR235" s="540"/>
      <c r="AS235" s="540"/>
      <c r="AT235" s="540"/>
      <c r="AU235" s="540"/>
      <c r="AV235" s="540"/>
      <c r="AW235" s="540"/>
      <c r="AX235" s="540"/>
      <c r="AY235" s="540"/>
      <c r="AZ235" s="540"/>
      <c r="BA235" s="540"/>
    </row>
    <row r="236" spans="1:53" ht="24">
      <c r="A236" s="447"/>
      <c r="B236" s="475" t="s">
        <v>72</v>
      </c>
      <c r="C236" s="475" t="s">
        <v>73</v>
      </c>
      <c r="D236" s="475" t="s">
        <v>68</v>
      </c>
      <c r="E236" s="475" t="s">
        <v>68</v>
      </c>
      <c r="F236" s="475" t="s">
        <v>74</v>
      </c>
      <c r="G236" s="22" t="s">
        <v>188</v>
      </c>
      <c r="H236" s="22"/>
      <c r="I236" s="13">
        <v>101000</v>
      </c>
      <c r="J236" s="13">
        <v>101000</v>
      </c>
      <c r="K236" s="13">
        <v>0</v>
      </c>
      <c r="L236" s="13">
        <v>0</v>
      </c>
      <c r="M236" s="17">
        <v>0</v>
      </c>
      <c r="N236" s="20">
        <f>J236+K236</f>
        <v>101000</v>
      </c>
      <c r="O236" s="136">
        <f t="shared" si="143"/>
        <v>100</v>
      </c>
      <c r="P236" s="20"/>
      <c r="Q236" s="472"/>
      <c r="R236" s="20"/>
      <c r="S236" s="20"/>
      <c r="T236" s="472">
        <f>P236+Q236</f>
        <v>0</v>
      </c>
      <c r="U236" s="472">
        <f t="shared" si="144"/>
        <v>0</v>
      </c>
      <c r="V236" s="472">
        <f t="shared" si="146"/>
        <v>101000</v>
      </c>
      <c r="W236" s="472">
        <f t="shared" si="142"/>
        <v>100</v>
      </c>
      <c r="X236" s="472">
        <f t="shared" si="147"/>
        <v>101000</v>
      </c>
      <c r="Y236" s="517"/>
    </row>
    <row r="237" spans="1:53" ht="24">
      <c r="A237" s="447"/>
      <c r="B237" s="475" t="s">
        <v>72</v>
      </c>
      <c r="C237" s="475" t="s">
        <v>73</v>
      </c>
      <c r="D237" s="475" t="s">
        <v>68</v>
      </c>
      <c r="E237" s="475" t="s">
        <v>68</v>
      </c>
      <c r="F237" s="475" t="s">
        <v>308</v>
      </c>
      <c r="G237" s="22" t="s">
        <v>309</v>
      </c>
      <c r="H237" s="22"/>
      <c r="I237" s="13">
        <v>376000</v>
      </c>
      <c r="J237" s="13">
        <v>376000</v>
      </c>
      <c r="K237" s="13">
        <v>0</v>
      </c>
      <c r="L237" s="13">
        <v>0</v>
      </c>
      <c r="M237" s="17">
        <v>0</v>
      </c>
      <c r="N237" s="20">
        <f t="shared" ref="N237:N241" si="168">J237+K237</f>
        <v>376000</v>
      </c>
      <c r="O237" s="136">
        <f t="shared" si="143"/>
        <v>100</v>
      </c>
      <c r="P237" s="20"/>
      <c r="Q237" s="472"/>
      <c r="R237" s="20"/>
      <c r="S237" s="20"/>
      <c r="T237" s="472">
        <f t="shared" ref="T237:T241" si="169">P237+Q237</f>
        <v>0</v>
      </c>
      <c r="U237" s="472">
        <f t="shared" si="144"/>
        <v>0</v>
      </c>
      <c r="V237" s="472">
        <f t="shared" si="146"/>
        <v>376000</v>
      </c>
      <c r="W237" s="472">
        <f t="shared" si="142"/>
        <v>100</v>
      </c>
      <c r="X237" s="472">
        <f t="shared" si="147"/>
        <v>376000</v>
      </c>
      <c r="Y237" s="517"/>
    </row>
    <row r="238" spans="1:53" ht="24">
      <c r="A238" s="447"/>
      <c r="B238" s="475" t="s">
        <v>72</v>
      </c>
      <c r="C238" s="475" t="s">
        <v>73</v>
      </c>
      <c r="D238" s="475" t="s">
        <v>68</v>
      </c>
      <c r="E238" s="475" t="s">
        <v>68</v>
      </c>
      <c r="F238" s="475" t="s">
        <v>190</v>
      </c>
      <c r="G238" s="22" t="s">
        <v>310</v>
      </c>
      <c r="H238" s="22"/>
      <c r="I238" s="13">
        <v>658000</v>
      </c>
      <c r="J238" s="13">
        <v>0</v>
      </c>
      <c r="K238" s="13">
        <v>658000</v>
      </c>
      <c r="L238" s="13">
        <v>0</v>
      </c>
      <c r="M238" s="17">
        <v>0</v>
      </c>
      <c r="N238" s="20">
        <f t="shared" si="168"/>
        <v>658000</v>
      </c>
      <c r="O238" s="136">
        <f t="shared" si="143"/>
        <v>100</v>
      </c>
      <c r="P238" s="20"/>
      <c r="Q238" s="472"/>
      <c r="R238" s="20"/>
      <c r="S238" s="20"/>
      <c r="T238" s="472">
        <f t="shared" si="169"/>
        <v>0</v>
      </c>
      <c r="U238" s="472">
        <f t="shared" si="144"/>
        <v>0</v>
      </c>
      <c r="V238" s="472">
        <f t="shared" si="146"/>
        <v>658000</v>
      </c>
      <c r="W238" s="472">
        <f t="shared" si="142"/>
        <v>100</v>
      </c>
      <c r="X238" s="472">
        <f t="shared" si="147"/>
        <v>658000</v>
      </c>
      <c r="Y238" s="517"/>
    </row>
    <row r="239" spans="1:53">
      <c r="A239" s="447"/>
      <c r="B239" s="475" t="s">
        <v>72</v>
      </c>
      <c r="C239" s="475" t="s">
        <v>73</v>
      </c>
      <c r="D239" s="475" t="s">
        <v>68</v>
      </c>
      <c r="E239" s="475" t="s">
        <v>68</v>
      </c>
      <c r="F239" s="475" t="s">
        <v>78</v>
      </c>
      <c r="G239" s="22" t="s">
        <v>79</v>
      </c>
      <c r="H239" s="22"/>
      <c r="I239" s="13">
        <v>4375000</v>
      </c>
      <c r="J239" s="13">
        <v>1093750</v>
      </c>
      <c r="K239" s="13">
        <v>1093750</v>
      </c>
      <c r="L239" s="13">
        <v>1093750</v>
      </c>
      <c r="M239" s="17">
        <v>1093750</v>
      </c>
      <c r="N239" s="20">
        <f t="shared" si="168"/>
        <v>2187500</v>
      </c>
      <c r="O239" s="136">
        <f t="shared" si="143"/>
        <v>50</v>
      </c>
      <c r="P239" s="20"/>
      <c r="Q239" s="472"/>
      <c r="R239" s="20"/>
      <c r="S239" s="20"/>
      <c r="T239" s="472">
        <f t="shared" si="169"/>
        <v>0</v>
      </c>
      <c r="U239" s="472">
        <f t="shared" si="144"/>
        <v>0</v>
      </c>
      <c r="V239" s="472">
        <f t="shared" si="146"/>
        <v>2187500</v>
      </c>
      <c r="W239" s="472">
        <f t="shared" si="142"/>
        <v>100</v>
      </c>
      <c r="X239" s="472">
        <f t="shared" si="147"/>
        <v>4375000</v>
      </c>
      <c r="Y239" s="517"/>
    </row>
    <row r="240" spans="1:53">
      <c r="A240" s="447"/>
      <c r="B240" s="475" t="s">
        <v>72</v>
      </c>
      <c r="C240" s="475" t="s">
        <v>73</v>
      </c>
      <c r="D240" s="475" t="s">
        <v>68</v>
      </c>
      <c r="E240" s="475" t="s">
        <v>68</v>
      </c>
      <c r="F240" s="475" t="s">
        <v>195</v>
      </c>
      <c r="G240" s="22" t="s">
        <v>196</v>
      </c>
      <c r="H240" s="22"/>
      <c r="I240" s="13">
        <v>3750000</v>
      </c>
      <c r="J240" s="13">
        <v>0</v>
      </c>
      <c r="K240" s="13">
        <v>1875000</v>
      </c>
      <c r="L240" s="13">
        <v>0</v>
      </c>
      <c r="M240" s="17">
        <v>1875000</v>
      </c>
      <c r="N240" s="20">
        <f t="shared" si="168"/>
        <v>1875000</v>
      </c>
      <c r="O240" s="136">
        <f t="shared" si="143"/>
        <v>50</v>
      </c>
      <c r="P240" s="20"/>
      <c r="Q240" s="472"/>
      <c r="R240" s="20"/>
      <c r="S240" s="20"/>
      <c r="T240" s="472">
        <f t="shared" si="169"/>
        <v>0</v>
      </c>
      <c r="U240" s="472">
        <f t="shared" si="144"/>
        <v>0</v>
      </c>
      <c r="V240" s="472">
        <f t="shared" si="146"/>
        <v>1875000</v>
      </c>
      <c r="W240" s="472">
        <f t="shared" si="142"/>
        <v>100</v>
      </c>
      <c r="X240" s="472">
        <f t="shared" si="147"/>
        <v>3750000</v>
      </c>
      <c r="Y240" s="517"/>
    </row>
    <row r="241" spans="1:53">
      <c r="A241" s="447"/>
      <c r="B241" s="475" t="s">
        <v>72</v>
      </c>
      <c r="C241" s="475" t="s">
        <v>73</v>
      </c>
      <c r="D241" s="475" t="s">
        <v>80</v>
      </c>
      <c r="E241" s="475" t="s">
        <v>68</v>
      </c>
      <c r="F241" s="475" t="s">
        <v>81</v>
      </c>
      <c r="G241" s="22" t="s">
        <v>82</v>
      </c>
      <c r="H241" s="22"/>
      <c r="I241" s="13">
        <v>10740000</v>
      </c>
      <c r="J241" s="13">
        <v>3222000</v>
      </c>
      <c r="K241" s="13">
        <v>1611000</v>
      </c>
      <c r="L241" s="13">
        <v>3222000</v>
      </c>
      <c r="M241" s="17">
        <v>2685000</v>
      </c>
      <c r="N241" s="20">
        <f t="shared" si="168"/>
        <v>4833000</v>
      </c>
      <c r="O241" s="136">
        <f t="shared" si="143"/>
        <v>45</v>
      </c>
      <c r="P241" s="20"/>
      <c r="Q241" s="472"/>
      <c r="R241" s="20"/>
      <c r="S241" s="20"/>
      <c r="T241" s="472">
        <f t="shared" si="169"/>
        <v>0</v>
      </c>
      <c r="U241" s="472">
        <f t="shared" si="144"/>
        <v>0</v>
      </c>
      <c r="V241" s="472">
        <f t="shared" si="146"/>
        <v>4833000</v>
      </c>
      <c r="W241" s="472">
        <f t="shared" si="142"/>
        <v>100</v>
      </c>
      <c r="X241" s="472">
        <f t="shared" si="147"/>
        <v>10740000</v>
      </c>
      <c r="Y241" s="517"/>
    </row>
    <row r="242" spans="1:53" s="484" customFormat="1" ht="24">
      <c r="A242" s="481">
        <v>38</v>
      </c>
      <c r="B242" s="482">
        <v>1</v>
      </c>
      <c r="C242" s="482" t="s">
        <v>66</v>
      </c>
      <c r="D242" s="482" t="s">
        <v>93</v>
      </c>
      <c r="E242" s="482" t="s">
        <v>108</v>
      </c>
      <c r="F242" s="482" t="s">
        <v>97</v>
      </c>
      <c r="G242" s="153" t="s">
        <v>202</v>
      </c>
      <c r="H242" s="153"/>
      <c r="I242" s="144">
        <f>SUM(I243:I247)</f>
        <v>30000000</v>
      </c>
      <c r="J242" s="144">
        <f t="shared" ref="J242:N242" si="170">SUM(J243:J247)</f>
        <v>4405250</v>
      </c>
      <c r="K242" s="144">
        <f t="shared" si="170"/>
        <v>12472750</v>
      </c>
      <c r="L242" s="144">
        <f t="shared" si="170"/>
        <v>10966500</v>
      </c>
      <c r="M242" s="144">
        <f t="shared" si="170"/>
        <v>2155500</v>
      </c>
      <c r="N242" s="144">
        <f t="shared" si="170"/>
        <v>16878000</v>
      </c>
      <c r="O242" s="154">
        <f t="shared" si="143"/>
        <v>56.26</v>
      </c>
      <c r="P242" s="483">
        <f>SUM(P243:P247)</f>
        <v>0</v>
      </c>
      <c r="Q242" s="134">
        <f t="shared" ref="Q242:T242" si="171">SUM(Q243:Q247)</f>
        <v>0</v>
      </c>
      <c r="R242" s="134">
        <f t="shared" si="171"/>
        <v>0</v>
      </c>
      <c r="S242" s="134">
        <f t="shared" si="171"/>
        <v>0</v>
      </c>
      <c r="T242" s="134">
        <f t="shared" si="171"/>
        <v>0</v>
      </c>
      <c r="U242" s="521">
        <f t="shared" si="144"/>
        <v>0</v>
      </c>
      <c r="V242" s="135">
        <f t="shared" si="146"/>
        <v>16878000</v>
      </c>
      <c r="W242" s="521">
        <f t="shared" si="142"/>
        <v>100</v>
      </c>
      <c r="X242" s="135">
        <f t="shared" si="147"/>
        <v>30000000</v>
      </c>
      <c r="Y242" s="522"/>
      <c r="Z242" s="540"/>
      <c r="AA242" s="540"/>
      <c r="AB242" s="540"/>
      <c r="AC242" s="540"/>
      <c r="AD242" s="540"/>
      <c r="AE242" s="540"/>
      <c r="AF242" s="540"/>
      <c r="AG242" s="540"/>
      <c r="AH242" s="540"/>
      <c r="AI242" s="540"/>
      <c r="AJ242" s="540"/>
      <c r="AK242" s="540"/>
      <c r="AL242" s="540"/>
      <c r="AM242" s="540"/>
      <c r="AN242" s="540"/>
      <c r="AO242" s="540"/>
      <c r="AP242" s="540"/>
      <c r="AQ242" s="540"/>
      <c r="AR242" s="540"/>
      <c r="AS242" s="540"/>
      <c r="AT242" s="540"/>
      <c r="AU242" s="540"/>
      <c r="AV242" s="540"/>
      <c r="AW242" s="540"/>
      <c r="AX242" s="540"/>
      <c r="AY242" s="540"/>
      <c r="AZ242" s="540"/>
      <c r="BA242" s="540"/>
    </row>
    <row r="243" spans="1:53" ht="24">
      <c r="A243" s="447"/>
      <c r="B243" s="475" t="s">
        <v>72</v>
      </c>
      <c r="C243" s="475" t="s">
        <v>73</v>
      </c>
      <c r="D243" s="475" t="s">
        <v>68</v>
      </c>
      <c r="E243" s="475" t="s">
        <v>68</v>
      </c>
      <c r="F243" s="475" t="s">
        <v>74</v>
      </c>
      <c r="G243" s="22" t="s">
        <v>188</v>
      </c>
      <c r="H243" s="22"/>
      <c r="I243" s="13">
        <v>297000</v>
      </c>
      <c r="J243" s="13">
        <v>297000</v>
      </c>
      <c r="K243" s="13">
        <v>0</v>
      </c>
      <c r="L243" s="13">
        <v>0</v>
      </c>
      <c r="M243" s="17">
        <v>0</v>
      </c>
      <c r="N243" s="20">
        <f>J243+K243</f>
        <v>297000</v>
      </c>
      <c r="O243" s="136">
        <f t="shared" si="143"/>
        <v>100</v>
      </c>
      <c r="P243" s="20"/>
      <c r="Q243" s="472"/>
      <c r="R243" s="20"/>
      <c r="S243" s="20"/>
      <c r="T243" s="466">
        <f>P243+Q243</f>
        <v>0</v>
      </c>
      <c r="U243" s="472">
        <f t="shared" si="144"/>
        <v>0</v>
      </c>
      <c r="V243" s="472">
        <f t="shared" si="146"/>
        <v>297000</v>
      </c>
      <c r="W243" s="472">
        <f t="shared" si="142"/>
        <v>100</v>
      </c>
      <c r="X243" s="472">
        <f t="shared" si="147"/>
        <v>297000</v>
      </c>
      <c r="Y243" s="517"/>
    </row>
    <row r="244" spans="1:53" ht="24">
      <c r="A244" s="447"/>
      <c r="B244" s="475" t="s">
        <v>72</v>
      </c>
      <c r="C244" s="475" t="s">
        <v>73</v>
      </c>
      <c r="D244" s="475" t="s">
        <v>68</v>
      </c>
      <c r="E244" s="475" t="s">
        <v>68</v>
      </c>
      <c r="F244" s="475" t="s">
        <v>308</v>
      </c>
      <c r="G244" s="22" t="s">
        <v>309</v>
      </c>
      <c r="H244" s="22"/>
      <c r="I244" s="13">
        <v>648000</v>
      </c>
      <c r="J244" s="13">
        <v>0</v>
      </c>
      <c r="K244" s="13">
        <v>648000</v>
      </c>
      <c r="L244" s="13">
        <v>0</v>
      </c>
      <c r="M244" s="17">
        <v>0</v>
      </c>
      <c r="N244" s="20">
        <f t="shared" ref="N244:N247" si="172">J244+K244</f>
        <v>648000</v>
      </c>
      <c r="O244" s="136">
        <f t="shared" si="143"/>
        <v>100</v>
      </c>
      <c r="P244" s="20"/>
      <c r="Q244" s="472"/>
      <c r="R244" s="20"/>
      <c r="S244" s="20"/>
      <c r="T244" s="466">
        <f t="shared" ref="T244:T248" si="173">P244+Q244</f>
        <v>0</v>
      </c>
      <c r="U244" s="472">
        <f t="shared" si="144"/>
        <v>0</v>
      </c>
      <c r="V244" s="472">
        <f t="shared" si="146"/>
        <v>648000</v>
      </c>
      <c r="W244" s="472">
        <f t="shared" si="142"/>
        <v>100</v>
      </c>
      <c r="X244" s="472">
        <f t="shared" si="147"/>
        <v>648000</v>
      </c>
      <c r="Y244" s="517"/>
    </row>
    <row r="245" spans="1:53">
      <c r="A245" s="447"/>
      <c r="B245" s="475" t="s">
        <v>72</v>
      </c>
      <c r="C245" s="475" t="s">
        <v>73</v>
      </c>
      <c r="D245" s="475" t="s">
        <v>68</v>
      </c>
      <c r="E245" s="475" t="s">
        <v>68</v>
      </c>
      <c r="F245" s="475" t="s">
        <v>78</v>
      </c>
      <c r="G245" s="22" t="s">
        <v>79</v>
      </c>
      <c r="H245" s="22"/>
      <c r="I245" s="13">
        <v>4375000</v>
      </c>
      <c r="J245" s="13">
        <v>875000</v>
      </c>
      <c r="K245" s="13">
        <v>875000</v>
      </c>
      <c r="L245" s="13">
        <v>2625000</v>
      </c>
      <c r="M245" s="17">
        <v>0</v>
      </c>
      <c r="N245" s="20">
        <f t="shared" si="172"/>
        <v>1750000</v>
      </c>
      <c r="O245" s="136">
        <f t="shared" si="143"/>
        <v>40</v>
      </c>
      <c r="P245" s="20"/>
      <c r="Q245" s="472"/>
      <c r="R245" s="20"/>
      <c r="S245" s="20"/>
      <c r="T245" s="466">
        <f t="shared" si="173"/>
        <v>0</v>
      </c>
      <c r="U245" s="472">
        <f t="shared" si="144"/>
        <v>0</v>
      </c>
      <c r="V245" s="472">
        <f t="shared" si="146"/>
        <v>1750000</v>
      </c>
      <c r="W245" s="472">
        <f t="shared" si="142"/>
        <v>100</v>
      </c>
      <c r="X245" s="472">
        <f t="shared" si="147"/>
        <v>4375000</v>
      </c>
      <c r="Y245" s="517"/>
    </row>
    <row r="246" spans="1:53">
      <c r="A246" s="447"/>
      <c r="B246" s="475" t="s">
        <v>72</v>
      </c>
      <c r="C246" s="475" t="s">
        <v>73</v>
      </c>
      <c r="D246" s="475" t="s">
        <v>68</v>
      </c>
      <c r="E246" s="475" t="s">
        <v>68</v>
      </c>
      <c r="F246" s="475" t="s">
        <v>195</v>
      </c>
      <c r="G246" s="22" t="s">
        <v>196</v>
      </c>
      <c r="H246" s="22"/>
      <c r="I246" s="13">
        <v>3125000</v>
      </c>
      <c r="J246" s="13">
        <v>0</v>
      </c>
      <c r="K246" s="13">
        <v>1250000</v>
      </c>
      <c r="L246" s="13">
        <v>1875000</v>
      </c>
      <c r="M246" s="17">
        <v>0</v>
      </c>
      <c r="N246" s="20">
        <f t="shared" si="172"/>
        <v>1250000</v>
      </c>
      <c r="O246" s="136">
        <f t="shared" si="143"/>
        <v>40</v>
      </c>
      <c r="P246" s="20"/>
      <c r="Q246" s="472"/>
      <c r="R246" s="20"/>
      <c r="S246" s="20"/>
      <c r="T246" s="466">
        <f t="shared" si="173"/>
        <v>0</v>
      </c>
      <c r="U246" s="472">
        <f t="shared" si="144"/>
        <v>0</v>
      </c>
      <c r="V246" s="472">
        <f t="shared" si="146"/>
        <v>1250000</v>
      </c>
      <c r="W246" s="472">
        <f t="shared" si="142"/>
        <v>100</v>
      </c>
      <c r="X246" s="472">
        <f t="shared" si="147"/>
        <v>3125000</v>
      </c>
      <c r="Y246" s="517"/>
    </row>
    <row r="247" spans="1:53">
      <c r="A247" s="447"/>
      <c r="B247" s="475" t="s">
        <v>72</v>
      </c>
      <c r="C247" s="475" t="s">
        <v>73</v>
      </c>
      <c r="D247" s="475" t="s">
        <v>80</v>
      </c>
      <c r="E247" s="475" t="s">
        <v>68</v>
      </c>
      <c r="F247" s="475" t="s">
        <v>81</v>
      </c>
      <c r="G247" s="22" t="s">
        <v>82</v>
      </c>
      <c r="H247" s="22"/>
      <c r="I247" s="13">
        <v>21555000</v>
      </c>
      <c r="J247" s="13">
        <v>3233250</v>
      </c>
      <c r="K247" s="13">
        <v>9699750</v>
      </c>
      <c r="L247" s="13">
        <v>6466500</v>
      </c>
      <c r="M247" s="17">
        <v>2155500</v>
      </c>
      <c r="N247" s="20">
        <f t="shared" si="172"/>
        <v>12933000</v>
      </c>
      <c r="O247" s="136">
        <f t="shared" si="143"/>
        <v>60</v>
      </c>
      <c r="P247" s="20"/>
      <c r="Q247" s="472"/>
      <c r="R247" s="20"/>
      <c r="S247" s="20"/>
      <c r="T247" s="466">
        <f t="shared" si="173"/>
        <v>0</v>
      </c>
      <c r="U247" s="472">
        <f t="shared" si="144"/>
        <v>0</v>
      </c>
      <c r="V247" s="472">
        <f t="shared" si="146"/>
        <v>12933000</v>
      </c>
      <c r="W247" s="472">
        <f t="shared" si="142"/>
        <v>100</v>
      </c>
      <c r="X247" s="472">
        <f t="shared" si="147"/>
        <v>21555000</v>
      </c>
      <c r="Y247" s="517"/>
    </row>
    <row r="248" spans="1:53" s="226" customFormat="1">
      <c r="A248" s="447"/>
      <c r="B248" s="489">
        <v>1</v>
      </c>
      <c r="C248" s="489" t="s">
        <v>66</v>
      </c>
      <c r="D248" s="489" t="s">
        <v>93</v>
      </c>
      <c r="E248" s="489" t="s">
        <v>203</v>
      </c>
      <c r="F248" s="489"/>
      <c r="G248" s="518" t="s">
        <v>204</v>
      </c>
      <c r="H248" s="518"/>
      <c r="I248" s="492">
        <f>I249+I256+I266</f>
        <v>119940200</v>
      </c>
      <c r="J248" s="492">
        <f t="shared" ref="J248:N248" si="174">J249+J256+J266</f>
        <v>51535500</v>
      </c>
      <c r="K248" s="492">
        <f t="shared" si="174"/>
        <v>30877800</v>
      </c>
      <c r="L248" s="492">
        <f t="shared" si="174"/>
        <v>36866900</v>
      </c>
      <c r="M248" s="492">
        <f t="shared" si="174"/>
        <v>660000</v>
      </c>
      <c r="N248" s="492">
        <f t="shared" si="174"/>
        <v>82413300</v>
      </c>
      <c r="O248" s="136">
        <f t="shared" si="143"/>
        <v>68.711991475752086</v>
      </c>
      <c r="P248" s="32">
        <f>P249+P256+P266</f>
        <v>0</v>
      </c>
      <c r="Q248" s="466">
        <f>Q249+Q256+Q266</f>
        <v>16768590</v>
      </c>
      <c r="R248" s="32"/>
      <c r="S248" s="32"/>
      <c r="T248" s="466">
        <f t="shared" si="173"/>
        <v>16768590</v>
      </c>
      <c r="U248" s="472">
        <f t="shared" si="144"/>
        <v>20.346946427336366</v>
      </c>
      <c r="V248" s="472">
        <f t="shared" si="146"/>
        <v>65644710</v>
      </c>
      <c r="W248" s="472">
        <f t="shared" si="142"/>
        <v>79.653053572663637</v>
      </c>
      <c r="X248" s="472">
        <f t="shared" si="147"/>
        <v>103171610</v>
      </c>
      <c r="Y248" s="517"/>
      <c r="Z248" s="533"/>
      <c r="AA248" s="533"/>
      <c r="AB248" s="533"/>
      <c r="AC248" s="533"/>
      <c r="AD248" s="533"/>
      <c r="AE248" s="533"/>
      <c r="AF248" s="533"/>
      <c r="AG248" s="533"/>
      <c r="AH248" s="533"/>
      <c r="AI248" s="533"/>
      <c r="AJ248" s="533"/>
      <c r="AK248" s="533"/>
      <c r="AL248" s="533"/>
      <c r="AM248" s="533"/>
      <c r="AN248" s="533"/>
      <c r="AO248" s="533"/>
      <c r="AP248" s="533"/>
      <c r="AQ248" s="533"/>
      <c r="AR248" s="533"/>
      <c r="AS248" s="533"/>
      <c r="AT248" s="533"/>
      <c r="AU248" s="533"/>
      <c r="AV248" s="533"/>
      <c r="AW248" s="533"/>
      <c r="AX248" s="533"/>
      <c r="AY248" s="533"/>
      <c r="AZ248" s="533"/>
      <c r="BA248" s="533"/>
    </row>
    <row r="249" spans="1:53" s="484" customFormat="1" ht="24">
      <c r="A249" s="481">
        <v>39</v>
      </c>
      <c r="B249" s="482">
        <v>1</v>
      </c>
      <c r="C249" s="482" t="s">
        <v>66</v>
      </c>
      <c r="D249" s="482" t="s">
        <v>93</v>
      </c>
      <c r="E249" s="482" t="s">
        <v>203</v>
      </c>
      <c r="F249" s="482" t="s">
        <v>68</v>
      </c>
      <c r="G249" s="153" t="s">
        <v>205</v>
      </c>
      <c r="H249" s="153"/>
      <c r="I249" s="144">
        <f>SUM(I250:I255)</f>
        <v>19972800</v>
      </c>
      <c r="J249" s="144">
        <f t="shared" ref="J249:N249" si="175">SUM(J250:J255)</f>
        <v>0</v>
      </c>
      <c r="K249" s="144">
        <f t="shared" si="175"/>
        <v>19972800</v>
      </c>
      <c r="L249" s="144">
        <f t="shared" si="175"/>
        <v>0</v>
      </c>
      <c r="M249" s="144">
        <f t="shared" si="175"/>
        <v>0</v>
      </c>
      <c r="N249" s="144">
        <f t="shared" si="175"/>
        <v>19972800</v>
      </c>
      <c r="O249" s="154">
        <f t="shared" si="143"/>
        <v>100</v>
      </c>
      <c r="P249" s="483">
        <f>SUM(P250:P255)</f>
        <v>0</v>
      </c>
      <c r="Q249" s="134">
        <f t="shared" ref="Q249:T249" si="176">SUM(Q250:Q255)</f>
        <v>0</v>
      </c>
      <c r="R249" s="134">
        <f t="shared" si="176"/>
        <v>0</v>
      </c>
      <c r="S249" s="134">
        <f t="shared" si="176"/>
        <v>0</v>
      </c>
      <c r="T249" s="134">
        <f t="shared" si="176"/>
        <v>0</v>
      </c>
      <c r="U249" s="521">
        <f t="shared" si="144"/>
        <v>0</v>
      </c>
      <c r="V249" s="135">
        <f t="shared" si="146"/>
        <v>19972800</v>
      </c>
      <c r="W249" s="521">
        <f t="shared" si="142"/>
        <v>100</v>
      </c>
      <c r="X249" s="135">
        <f t="shared" si="147"/>
        <v>19972800</v>
      </c>
      <c r="Y249" s="522"/>
      <c r="Z249" s="540"/>
      <c r="AA249" s="540"/>
      <c r="AB249" s="540"/>
      <c r="AC249" s="540"/>
      <c r="AD249" s="540"/>
      <c r="AE249" s="540"/>
      <c r="AF249" s="540"/>
      <c r="AG249" s="540"/>
      <c r="AH249" s="540"/>
      <c r="AI249" s="540"/>
      <c r="AJ249" s="540"/>
      <c r="AK249" s="540"/>
      <c r="AL249" s="540"/>
      <c r="AM249" s="540"/>
      <c r="AN249" s="540"/>
      <c r="AO249" s="540"/>
      <c r="AP249" s="540"/>
      <c r="AQ249" s="540"/>
      <c r="AR249" s="540"/>
      <c r="AS249" s="540"/>
      <c r="AT249" s="540"/>
      <c r="AU249" s="540"/>
      <c r="AV249" s="540"/>
      <c r="AW249" s="540"/>
      <c r="AX249" s="540"/>
      <c r="AY249" s="540"/>
      <c r="AZ249" s="540"/>
      <c r="BA249" s="540"/>
    </row>
    <row r="250" spans="1:53" ht="24">
      <c r="A250" s="447"/>
      <c r="B250" s="475" t="s">
        <v>72</v>
      </c>
      <c r="C250" s="475" t="s">
        <v>73</v>
      </c>
      <c r="D250" s="475" t="s">
        <v>68</v>
      </c>
      <c r="E250" s="475" t="s">
        <v>68</v>
      </c>
      <c r="F250" s="475" t="s">
        <v>74</v>
      </c>
      <c r="G250" s="22" t="s">
        <v>188</v>
      </c>
      <c r="H250" s="22"/>
      <c r="I250" s="13">
        <v>558500</v>
      </c>
      <c r="J250" s="13">
        <v>0</v>
      </c>
      <c r="K250" s="13">
        <v>558500</v>
      </c>
      <c r="L250" s="13">
        <v>0</v>
      </c>
      <c r="M250" s="17">
        <v>0</v>
      </c>
      <c r="N250" s="20">
        <f>J250+K250</f>
        <v>558500</v>
      </c>
      <c r="O250" s="136">
        <f t="shared" si="143"/>
        <v>100</v>
      </c>
      <c r="P250" s="20"/>
      <c r="Q250" s="472"/>
      <c r="R250" s="20"/>
      <c r="S250" s="20"/>
      <c r="T250" s="472">
        <f>P250+Q250</f>
        <v>0</v>
      </c>
      <c r="U250" s="472">
        <f t="shared" si="144"/>
        <v>0</v>
      </c>
      <c r="V250" s="472">
        <f t="shared" si="146"/>
        <v>558500</v>
      </c>
      <c r="W250" s="472">
        <f t="shared" si="142"/>
        <v>100</v>
      </c>
      <c r="X250" s="472">
        <f t="shared" si="147"/>
        <v>558500</v>
      </c>
      <c r="Y250" s="517"/>
    </row>
    <row r="251" spans="1:53" ht="24">
      <c r="A251" s="447"/>
      <c r="B251" s="475" t="s">
        <v>72</v>
      </c>
      <c r="C251" s="475" t="s">
        <v>73</v>
      </c>
      <c r="D251" s="475" t="s">
        <v>68</v>
      </c>
      <c r="E251" s="475" t="s">
        <v>68</v>
      </c>
      <c r="F251" s="475" t="s">
        <v>308</v>
      </c>
      <c r="G251" s="22" t="s">
        <v>309</v>
      </c>
      <c r="H251" s="22"/>
      <c r="I251" s="13">
        <v>315300</v>
      </c>
      <c r="J251" s="13">
        <v>0</v>
      </c>
      <c r="K251" s="13">
        <v>315300</v>
      </c>
      <c r="L251" s="13">
        <v>0</v>
      </c>
      <c r="M251" s="17">
        <v>0</v>
      </c>
      <c r="N251" s="20">
        <f t="shared" ref="N251:N255" si="177">J251+K251</f>
        <v>315300</v>
      </c>
      <c r="O251" s="136">
        <f t="shared" si="143"/>
        <v>100</v>
      </c>
      <c r="P251" s="20"/>
      <c r="Q251" s="472"/>
      <c r="R251" s="20"/>
      <c r="S251" s="20"/>
      <c r="T251" s="472">
        <f t="shared" ref="T251:T255" si="178">P251+Q251</f>
        <v>0</v>
      </c>
      <c r="U251" s="472">
        <f t="shared" si="144"/>
        <v>0</v>
      </c>
      <c r="V251" s="472">
        <f t="shared" si="146"/>
        <v>315300</v>
      </c>
      <c r="W251" s="472">
        <f t="shared" si="142"/>
        <v>100</v>
      </c>
      <c r="X251" s="472">
        <f t="shared" si="147"/>
        <v>315300</v>
      </c>
      <c r="Y251" s="517"/>
    </row>
    <row r="252" spans="1:53">
      <c r="A252" s="447"/>
      <c r="B252" s="475" t="s">
        <v>72</v>
      </c>
      <c r="C252" s="475" t="s">
        <v>73</v>
      </c>
      <c r="D252" s="475" t="s">
        <v>68</v>
      </c>
      <c r="E252" s="475" t="s">
        <v>68</v>
      </c>
      <c r="F252" s="475" t="s">
        <v>76</v>
      </c>
      <c r="G252" s="22" t="s">
        <v>189</v>
      </c>
      <c r="H252" s="22"/>
      <c r="I252" s="13">
        <v>1250000</v>
      </c>
      <c r="J252" s="13">
        <v>0</v>
      </c>
      <c r="K252" s="13">
        <v>1250000</v>
      </c>
      <c r="L252" s="13">
        <v>0</v>
      </c>
      <c r="M252" s="17">
        <v>0</v>
      </c>
      <c r="N252" s="20">
        <f t="shared" si="177"/>
        <v>1250000</v>
      </c>
      <c r="O252" s="136">
        <f t="shared" si="143"/>
        <v>100</v>
      </c>
      <c r="P252" s="20"/>
      <c r="Q252" s="472"/>
      <c r="R252" s="20"/>
      <c r="S252" s="20"/>
      <c r="T252" s="472">
        <f t="shared" si="178"/>
        <v>0</v>
      </c>
      <c r="U252" s="472">
        <f t="shared" si="144"/>
        <v>0</v>
      </c>
      <c r="V252" s="472">
        <f t="shared" si="146"/>
        <v>1250000</v>
      </c>
      <c r="W252" s="472">
        <f t="shared" si="142"/>
        <v>100</v>
      </c>
      <c r="X252" s="472">
        <f t="shared" si="147"/>
        <v>1250000</v>
      </c>
      <c r="Y252" s="517"/>
    </row>
    <row r="253" spans="1:53" ht="24">
      <c r="A253" s="447"/>
      <c r="B253" s="475" t="s">
        <v>72</v>
      </c>
      <c r="C253" s="475" t="s">
        <v>73</v>
      </c>
      <c r="D253" s="475" t="s">
        <v>68</v>
      </c>
      <c r="E253" s="475" t="s">
        <v>68</v>
      </c>
      <c r="F253" s="475" t="s">
        <v>190</v>
      </c>
      <c r="G253" s="22" t="s">
        <v>310</v>
      </c>
      <c r="H253" s="22"/>
      <c r="I253" s="13">
        <v>2049000</v>
      </c>
      <c r="J253" s="13">
        <v>0</v>
      </c>
      <c r="K253" s="13">
        <v>2049000</v>
      </c>
      <c r="L253" s="13">
        <v>0</v>
      </c>
      <c r="M253" s="17">
        <v>0</v>
      </c>
      <c r="N253" s="20">
        <f t="shared" si="177"/>
        <v>2049000</v>
      </c>
      <c r="O253" s="136">
        <f t="shared" si="143"/>
        <v>100</v>
      </c>
      <c r="P253" s="20"/>
      <c r="Q253" s="472"/>
      <c r="R253" s="20"/>
      <c r="S253" s="20"/>
      <c r="T253" s="472">
        <f t="shared" si="178"/>
        <v>0</v>
      </c>
      <c r="U253" s="472">
        <f t="shared" si="144"/>
        <v>0</v>
      </c>
      <c r="V253" s="472">
        <f t="shared" si="146"/>
        <v>2049000</v>
      </c>
      <c r="W253" s="472">
        <f t="shared" si="142"/>
        <v>100</v>
      </c>
      <c r="X253" s="472">
        <f t="shared" si="147"/>
        <v>2049000</v>
      </c>
      <c r="Y253" s="517"/>
    </row>
    <row r="254" spans="1:53">
      <c r="A254" s="447"/>
      <c r="B254" s="475" t="s">
        <v>72</v>
      </c>
      <c r="C254" s="475" t="s">
        <v>73</v>
      </c>
      <c r="D254" s="475" t="s">
        <v>68</v>
      </c>
      <c r="E254" s="475" t="s">
        <v>68</v>
      </c>
      <c r="F254" s="475" t="s">
        <v>78</v>
      </c>
      <c r="G254" s="22" t="s">
        <v>79</v>
      </c>
      <c r="H254" s="22"/>
      <c r="I254" s="13">
        <v>4200000</v>
      </c>
      <c r="J254" s="13">
        <v>0</v>
      </c>
      <c r="K254" s="13">
        <v>4200000</v>
      </c>
      <c r="L254" s="13">
        <v>0</v>
      </c>
      <c r="M254" s="17">
        <v>0</v>
      </c>
      <c r="N254" s="20">
        <f t="shared" si="177"/>
        <v>4200000</v>
      </c>
      <c r="O254" s="136">
        <f t="shared" si="143"/>
        <v>100</v>
      </c>
      <c r="P254" s="20"/>
      <c r="Q254" s="472"/>
      <c r="R254" s="20"/>
      <c r="S254" s="20"/>
      <c r="T254" s="472">
        <f t="shared" si="178"/>
        <v>0</v>
      </c>
      <c r="U254" s="472">
        <f t="shared" si="144"/>
        <v>0</v>
      </c>
      <c r="V254" s="472">
        <f t="shared" si="146"/>
        <v>4200000</v>
      </c>
      <c r="W254" s="472">
        <f t="shared" si="142"/>
        <v>100</v>
      </c>
      <c r="X254" s="472">
        <f t="shared" si="147"/>
        <v>4200000</v>
      </c>
      <c r="Y254" s="517"/>
    </row>
    <row r="255" spans="1:53">
      <c r="A255" s="447"/>
      <c r="B255" s="475" t="s">
        <v>72</v>
      </c>
      <c r="C255" s="475" t="s">
        <v>73</v>
      </c>
      <c r="D255" s="475" t="s">
        <v>80</v>
      </c>
      <c r="E255" s="475" t="s">
        <v>68</v>
      </c>
      <c r="F255" s="475" t="s">
        <v>81</v>
      </c>
      <c r="G255" s="22" t="s">
        <v>82</v>
      </c>
      <c r="H255" s="22"/>
      <c r="I255" s="13">
        <v>11600000</v>
      </c>
      <c r="J255" s="13">
        <v>0</v>
      </c>
      <c r="K255" s="13">
        <v>11600000</v>
      </c>
      <c r="L255" s="13">
        <v>0</v>
      </c>
      <c r="M255" s="17">
        <v>0</v>
      </c>
      <c r="N255" s="20">
        <f t="shared" si="177"/>
        <v>11600000</v>
      </c>
      <c r="O255" s="136">
        <f t="shared" si="143"/>
        <v>100</v>
      </c>
      <c r="P255" s="20"/>
      <c r="Q255" s="472"/>
      <c r="R255" s="20"/>
      <c r="S255" s="20"/>
      <c r="T255" s="472">
        <f t="shared" si="178"/>
        <v>0</v>
      </c>
      <c r="U255" s="472">
        <f t="shared" si="144"/>
        <v>0</v>
      </c>
      <c r="V255" s="472">
        <f t="shared" si="146"/>
        <v>11600000</v>
      </c>
      <c r="W255" s="472">
        <f t="shared" si="142"/>
        <v>100</v>
      </c>
      <c r="X255" s="472">
        <f t="shared" si="147"/>
        <v>11600000</v>
      </c>
      <c r="Y255" s="517"/>
    </row>
    <row r="256" spans="1:53" s="484" customFormat="1">
      <c r="A256" s="481">
        <v>40</v>
      </c>
      <c r="B256" s="482">
        <v>1</v>
      </c>
      <c r="C256" s="482" t="s">
        <v>66</v>
      </c>
      <c r="D256" s="482" t="s">
        <v>93</v>
      </c>
      <c r="E256" s="482" t="s">
        <v>203</v>
      </c>
      <c r="F256" s="482" t="s">
        <v>73</v>
      </c>
      <c r="G256" s="153" t="s">
        <v>279</v>
      </c>
      <c r="H256" s="153"/>
      <c r="I256" s="144">
        <f>SUM(I257:I265)</f>
        <v>64997400</v>
      </c>
      <c r="J256" s="144">
        <f t="shared" ref="J256:N256" si="179">SUM(J257:J265)</f>
        <v>34005500</v>
      </c>
      <c r="K256" s="144">
        <f t="shared" si="179"/>
        <v>0</v>
      </c>
      <c r="L256" s="144">
        <f t="shared" si="179"/>
        <v>30991900</v>
      </c>
      <c r="M256" s="144">
        <f t="shared" si="179"/>
        <v>0</v>
      </c>
      <c r="N256" s="144">
        <f t="shared" si="179"/>
        <v>34005500</v>
      </c>
      <c r="O256" s="154">
        <f t="shared" si="143"/>
        <v>52.31824657601689</v>
      </c>
      <c r="P256" s="483">
        <f>SUM(P257:P265)</f>
        <v>0</v>
      </c>
      <c r="Q256" s="134">
        <f t="shared" ref="Q256:T256" si="180">SUM(Q257:Q265)</f>
        <v>2235000</v>
      </c>
      <c r="R256" s="134">
        <f t="shared" si="180"/>
        <v>0</v>
      </c>
      <c r="S256" s="134">
        <f t="shared" si="180"/>
        <v>0</v>
      </c>
      <c r="T256" s="134">
        <f t="shared" si="180"/>
        <v>2235000</v>
      </c>
      <c r="U256" s="521">
        <f t="shared" si="144"/>
        <v>6.5724662186999154</v>
      </c>
      <c r="V256" s="135">
        <f t="shared" si="146"/>
        <v>31770500</v>
      </c>
      <c r="W256" s="521">
        <f t="shared" si="142"/>
        <v>93.427533781300085</v>
      </c>
      <c r="X256" s="135">
        <f t="shared" si="147"/>
        <v>62762400</v>
      </c>
      <c r="Y256" s="522"/>
      <c r="Z256" s="540"/>
      <c r="AA256" s="540"/>
      <c r="AB256" s="540"/>
      <c r="AC256" s="540"/>
      <c r="AD256" s="540"/>
      <c r="AE256" s="540"/>
      <c r="AF256" s="540"/>
      <c r="AG256" s="540"/>
      <c r="AH256" s="540"/>
      <c r="AI256" s="540"/>
      <c r="AJ256" s="540"/>
      <c r="AK256" s="540"/>
      <c r="AL256" s="540"/>
      <c r="AM256" s="540"/>
      <c r="AN256" s="540"/>
      <c r="AO256" s="540"/>
      <c r="AP256" s="540"/>
      <c r="AQ256" s="540"/>
      <c r="AR256" s="540"/>
      <c r="AS256" s="540"/>
      <c r="AT256" s="540"/>
      <c r="AU256" s="540"/>
      <c r="AV256" s="540"/>
      <c r="AW256" s="540"/>
      <c r="AX256" s="540"/>
      <c r="AY256" s="540"/>
      <c r="AZ256" s="540"/>
      <c r="BA256" s="540"/>
    </row>
    <row r="257" spans="1:53" ht="16.5" customHeight="1">
      <c r="A257" s="447"/>
      <c r="B257" s="475" t="s">
        <v>72</v>
      </c>
      <c r="C257" s="475" t="s">
        <v>73</v>
      </c>
      <c r="D257" s="475" t="s">
        <v>68</v>
      </c>
      <c r="E257" s="475" t="s">
        <v>68</v>
      </c>
      <c r="F257" s="475" t="s">
        <v>74</v>
      </c>
      <c r="G257" s="22" t="s">
        <v>178</v>
      </c>
      <c r="H257" s="22"/>
      <c r="I257" s="13">
        <v>3227900</v>
      </c>
      <c r="J257" s="13">
        <v>1350000</v>
      </c>
      <c r="K257" s="13"/>
      <c r="L257" s="13">
        <v>1877900</v>
      </c>
      <c r="M257" s="17">
        <v>0</v>
      </c>
      <c r="N257" s="20">
        <f>J257+K257</f>
        <v>1350000</v>
      </c>
      <c r="O257" s="136">
        <f t="shared" si="143"/>
        <v>41.822856965829175</v>
      </c>
      <c r="P257" s="20"/>
      <c r="Q257" s="472"/>
      <c r="R257" s="20"/>
      <c r="S257" s="20"/>
      <c r="T257" s="472">
        <f>P257+Q257</f>
        <v>0</v>
      </c>
      <c r="U257" s="472">
        <f t="shared" si="144"/>
        <v>0</v>
      </c>
      <c r="V257" s="472">
        <f t="shared" si="146"/>
        <v>1350000</v>
      </c>
      <c r="W257" s="472">
        <f t="shared" si="142"/>
        <v>100</v>
      </c>
      <c r="X257" s="472">
        <f t="shared" si="147"/>
        <v>3227900</v>
      </c>
      <c r="Y257" s="517"/>
    </row>
    <row r="258" spans="1:53" ht="16.5" customHeight="1">
      <c r="A258" s="447"/>
      <c r="B258" s="475" t="s">
        <v>72</v>
      </c>
      <c r="C258" s="475" t="s">
        <v>73</v>
      </c>
      <c r="D258" s="475" t="s">
        <v>68</v>
      </c>
      <c r="E258" s="475" t="s">
        <v>68</v>
      </c>
      <c r="F258" s="475" t="s">
        <v>308</v>
      </c>
      <c r="G258" s="22" t="s">
        <v>309</v>
      </c>
      <c r="H258" s="22"/>
      <c r="I258" s="13">
        <v>218500</v>
      </c>
      <c r="J258" s="13">
        <v>218500</v>
      </c>
      <c r="K258" s="13">
        <v>0</v>
      </c>
      <c r="L258" s="13">
        <v>0</v>
      </c>
      <c r="M258" s="17">
        <v>0</v>
      </c>
      <c r="N258" s="20">
        <f t="shared" ref="N258:N265" si="181">J258+K258</f>
        <v>218500</v>
      </c>
      <c r="O258" s="136">
        <f t="shared" si="143"/>
        <v>100</v>
      </c>
      <c r="P258" s="20"/>
      <c r="Q258" s="472"/>
      <c r="R258" s="20"/>
      <c r="S258" s="20"/>
      <c r="T258" s="472">
        <f t="shared" ref="T258:T265" si="182">P258+Q258</f>
        <v>0</v>
      </c>
      <c r="U258" s="472">
        <f t="shared" si="144"/>
        <v>0</v>
      </c>
      <c r="V258" s="472">
        <f t="shared" si="146"/>
        <v>218500</v>
      </c>
      <c r="W258" s="472">
        <f t="shared" si="142"/>
        <v>100</v>
      </c>
      <c r="X258" s="472">
        <f t="shared" si="147"/>
        <v>218500</v>
      </c>
      <c r="Y258" s="517"/>
    </row>
    <row r="259" spans="1:53" ht="16.5" customHeight="1">
      <c r="A259" s="447"/>
      <c r="B259" s="475" t="s">
        <v>72</v>
      </c>
      <c r="C259" s="475" t="s">
        <v>73</v>
      </c>
      <c r="D259" s="475" t="s">
        <v>68</v>
      </c>
      <c r="E259" s="475" t="s">
        <v>68</v>
      </c>
      <c r="F259" s="475" t="s">
        <v>76</v>
      </c>
      <c r="G259" s="22" t="s">
        <v>179</v>
      </c>
      <c r="H259" s="22"/>
      <c r="I259" s="13">
        <v>1950000</v>
      </c>
      <c r="J259" s="13">
        <v>975000</v>
      </c>
      <c r="K259" s="13">
        <v>0</v>
      </c>
      <c r="L259" s="13">
        <v>975000</v>
      </c>
      <c r="M259" s="17">
        <v>0</v>
      </c>
      <c r="N259" s="20">
        <f t="shared" si="181"/>
        <v>975000</v>
      </c>
      <c r="O259" s="136">
        <f t="shared" si="143"/>
        <v>50</v>
      </c>
      <c r="P259" s="20"/>
      <c r="Q259" s="472"/>
      <c r="R259" s="20"/>
      <c r="S259" s="20"/>
      <c r="T259" s="472">
        <f t="shared" si="182"/>
        <v>0</v>
      </c>
      <c r="U259" s="472">
        <f t="shared" si="144"/>
        <v>0</v>
      </c>
      <c r="V259" s="472">
        <f t="shared" si="146"/>
        <v>975000</v>
      </c>
      <c r="W259" s="472">
        <f t="shared" si="142"/>
        <v>100</v>
      </c>
      <c r="X259" s="472">
        <f t="shared" si="147"/>
        <v>1950000</v>
      </c>
      <c r="Y259" s="517"/>
    </row>
    <row r="260" spans="1:53" ht="16.5" customHeight="1">
      <c r="A260" s="447"/>
      <c r="B260" s="475" t="s">
        <v>72</v>
      </c>
      <c r="C260" s="475" t="s">
        <v>73</v>
      </c>
      <c r="D260" s="475" t="s">
        <v>68</v>
      </c>
      <c r="E260" s="475" t="s">
        <v>68</v>
      </c>
      <c r="F260" s="475" t="s">
        <v>190</v>
      </c>
      <c r="G260" s="22" t="s">
        <v>310</v>
      </c>
      <c r="H260" s="22"/>
      <c r="I260" s="13">
        <v>461000</v>
      </c>
      <c r="J260" s="13">
        <v>162000</v>
      </c>
      <c r="K260" s="13">
        <v>0</v>
      </c>
      <c r="L260" s="13">
        <v>299000</v>
      </c>
      <c r="M260" s="17">
        <v>0</v>
      </c>
      <c r="N260" s="20">
        <f t="shared" si="181"/>
        <v>162000</v>
      </c>
      <c r="O260" s="136">
        <f t="shared" si="143"/>
        <v>35.140997830802604</v>
      </c>
      <c r="P260" s="20"/>
      <c r="Q260" s="472"/>
      <c r="R260" s="20"/>
      <c r="S260" s="20"/>
      <c r="T260" s="472">
        <f t="shared" si="182"/>
        <v>0</v>
      </c>
      <c r="U260" s="472">
        <f t="shared" si="144"/>
        <v>0</v>
      </c>
      <c r="V260" s="472">
        <f t="shared" si="146"/>
        <v>162000</v>
      </c>
      <c r="W260" s="472">
        <f t="shared" si="142"/>
        <v>100</v>
      </c>
      <c r="X260" s="472">
        <f t="shared" si="147"/>
        <v>461000</v>
      </c>
      <c r="Y260" s="517"/>
    </row>
    <row r="261" spans="1:53" ht="16.5" customHeight="1">
      <c r="A261" s="447"/>
      <c r="B261" s="475" t="s">
        <v>72</v>
      </c>
      <c r="C261" s="475" t="s">
        <v>73</v>
      </c>
      <c r="D261" s="475" t="s">
        <v>68</v>
      </c>
      <c r="E261" s="475" t="s">
        <v>68</v>
      </c>
      <c r="F261" s="475" t="s">
        <v>78</v>
      </c>
      <c r="G261" s="22" t="s">
        <v>79</v>
      </c>
      <c r="H261" s="22"/>
      <c r="I261" s="13">
        <v>10500000</v>
      </c>
      <c r="J261" s="13">
        <v>5250000</v>
      </c>
      <c r="K261" s="13">
        <v>0</v>
      </c>
      <c r="L261" s="13">
        <v>5250000</v>
      </c>
      <c r="M261" s="17">
        <v>0</v>
      </c>
      <c r="N261" s="20">
        <f t="shared" si="181"/>
        <v>5250000</v>
      </c>
      <c r="O261" s="136">
        <f t="shared" si="143"/>
        <v>50</v>
      </c>
      <c r="P261" s="20"/>
      <c r="Q261" s="472"/>
      <c r="R261" s="20"/>
      <c r="S261" s="20"/>
      <c r="T261" s="472">
        <f t="shared" si="182"/>
        <v>0</v>
      </c>
      <c r="U261" s="472">
        <f t="shared" si="144"/>
        <v>0</v>
      </c>
      <c r="V261" s="472">
        <f t="shared" si="146"/>
        <v>5250000</v>
      </c>
      <c r="W261" s="472">
        <f t="shared" si="142"/>
        <v>100</v>
      </c>
      <c r="X261" s="472">
        <f t="shared" si="147"/>
        <v>10500000</v>
      </c>
      <c r="Y261" s="517"/>
    </row>
    <row r="262" spans="1:53" ht="27.6" customHeight="1">
      <c r="A262" s="447"/>
      <c r="B262" s="475" t="s">
        <v>72</v>
      </c>
      <c r="C262" s="475" t="s">
        <v>73</v>
      </c>
      <c r="D262" s="475" t="s">
        <v>73</v>
      </c>
      <c r="E262" s="475" t="s">
        <v>68</v>
      </c>
      <c r="F262" s="475" t="s">
        <v>116</v>
      </c>
      <c r="G262" s="22" t="s">
        <v>180</v>
      </c>
      <c r="H262" s="22"/>
      <c r="I262" s="13">
        <v>21000000</v>
      </c>
      <c r="J262" s="13">
        <v>12000000</v>
      </c>
      <c r="K262" s="13">
        <v>0</v>
      </c>
      <c r="L262" s="13">
        <v>9000000</v>
      </c>
      <c r="M262" s="17">
        <v>0</v>
      </c>
      <c r="N262" s="20">
        <f t="shared" si="181"/>
        <v>12000000</v>
      </c>
      <c r="O262" s="136">
        <f t="shared" si="143"/>
        <v>57.142857142857139</v>
      </c>
      <c r="P262" s="20"/>
      <c r="Q262" s="472"/>
      <c r="R262" s="20"/>
      <c r="S262" s="20"/>
      <c r="T262" s="472">
        <f t="shared" si="182"/>
        <v>0</v>
      </c>
      <c r="U262" s="472">
        <f t="shared" si="144"/>
        <v>0</v>
      </c>
      <c r="V262" s="472">
        <f t="shared" si="146"/>
        <v>12000000</v>
      </c>
      <c r="W262" s="472">
        <f t="shared" si="142"/>
        <v>100</v>
      </c>
      <c r="X262" s="472">
        <f t="shared" si="147"/>
        <v>21000000</v>
      </c>
      <c r="Y262" s="517"/>
    </row>
    <row r="263" spans="1:53" ht="16.5" customHeight="1">
      <c r="A263" s="447"/>
      <c r="B263" s="475" t="s">
        <v>72</v>
      </c>
      <c r="C263" s="475" t="s">
        <v>73</v>
      </c>
      <c r="D263" s="475" t="s">
        <v>73</v>
      </c>
      <c r="E263" s="475" t="s">
        <v>80</v>
      </c>
      <c r="F263" s="475" t="s">
        <v>162</v>
      </c>
      <c r="G263" s="22" t="s">
        <v>323</v>
      </c>
      <c r="H263" s="22"/>
      <c r="I263" s="13">
        <v>11040000</v>
      </c>
      <c r="J263" s="13">
        <v>5520000</v>
      </c>
      <c r="K263" s="13">
        <v>0</v>
      </c>
      <c r="L263" s="13">
        <v>5520000</v>
      </c>
      <c r="M263" s="17">
        <v>0</v>
      </c>
      <c r="N263" s="20">
        <f t="shared" si="181"/>
        <v>5520000</v>
      </c>
      <c r="O263" s="136">
        <f t="shared" si="143"/>
        <v>50</v>
      </c>
      <c r="P263" s="20"/>
      <c r="Q263" s="472"/>
      <c r="R263" s="20"/>
      <c r="S263" s="20"/>
      <c r="T263" s="472">
        <f t="shared" si="182"/>
        <v>0</v>
      </c>
      <c r="U263" s="472">
        <f t="shared" si="144"/>
        <v>0</v>
      </c>
      <c r="V263" s="472">
        <f t="shared" si="146"/>
        <v>5520000</v>
      </c>
      <c r="W263" s="472">
        <f t="shared" si="142"/>
        <v>100</v>
      </c>
      <c r="X263" s="472">
        <f t="shared" si="147"/>
        <v>11040000</v>
      </c>
      <c r="Y263" s="517"/>
    </row>
    <row r="264" spans="1:53" ht="16.5" customHeight="1">
      <c r="A264" s="447"/>
      <c r="B264" s="475" t="s">
        <v>72</v>
      </c>
      <c r="C264" s="475" t="s">
        <v>73</v>
      </c>
      <c r="D264" s="475" t="s">
        <v>73</v>
      </c>
      <c r="E264" s="475" t="s">
        <v>66</v>
      </c>
      <c r="F264" s="475" t="s">
        <v>182</v>
      </c>
      <c r="G264" s="22" t="s">
        <v>183</v>
      </c>
      <c r="H264" s="22"/>
      <c r="I264" s="13">
        <v>10800000</v>
      </c>
      <c r="J264" s="13">
        <v>5400000</v>
      </c>
      <c r="K264" s="13">
        <v>0</v>
      </c>
      <c r="L264" s="13">
        <v>5400000</v>
      </c>
      <c r="M264" s="17">
        <v>0</v>
      </c>
      <c r="N264" s="20">
        <f t="shared" si="181"/>
        <v>5400000</v>
      </c>
      <c r="O264" s="136">
        <f t="shared" si="143"/>
        <v>50</v>
      </c>
      <c r="P264" s="20"/>
      <c r="Q264" s="472"/>
      <c r="R264" s="20"/>
      <c r="S264" s="20"/>
      <c r="T264" s="472">
        <f t="shared" si="182"/>
        <v>0</v>
      </c>
      <c r="U264" s="472">
        <f t="shared" si="144"/>
        <v>0</v>
      </c>
      <c r="V264" s="472">
        <f t="shared" si="146"/>
        <v>5400000</v>
      </c>
      <c r="W264" s="472">
        <f t="shared" si="142"/>
        <v>100</v>
      </c>
      <c r="X264" s="472">
        <f t="shared" si="147"/>
        <v>10800000</v>
      </c>
      <c r="Y264" s="517"/>
    </row>
    <row r="265" spans="1:53" ht="16.5" customHeight="1">
      <c r="A265" s="447"/>
      <c r="B265" s="475" t="s">
        <v>72</v>
      </c>
      <c r="C265" s="475" t="s">
        <v>73</v>
      </c>
      <c r="D265" s="475" t="s">
        <v>80</v>
      </c>
      <c r="E265" s="475" t="s">
        <v>68</v>
      </c>
      <c r="F265" s="475" t="s">
        <v>81</v>
      </c>
      <c r="G265" s="22" t="s">
        <v>82</v>
      </c>
      <c r="H265" s="22"/>
      <c r="I265" s="13">
        <v>5800000</v>
      </c>
      <c r="J265" s="13">
        <v>3130000</v>
      </c>
      <c r="K265" s="13">
        <v>0</v>
      </c>
      <c r="L265" s="13">
        <v>2670000</v>
      </c>
      <c r="M265" s="17">
        <v>0</v>
      </c>
      <c r="N265" s="20">
        <f t="shared" si="181"/>
        <v>3130000</v>
      </c>
      <c r="O265" s="136">
        <f t="shared" si="143"/>
        <v>53.96551724137931</v>
      </c>
      <c r="P265" s="20"/>
      <c r="Q265" s="472">
        <f>2235000</f>
        <v>2235000</v>
      </c>
      <c r="R265" s="20"/>
      <c r="S265" s="20"/>
      <c r="T265" s="472">
        <f t="shared" si="182"/>
        <v>2235000</v>
      </c>
      <c r="U265" s="472">
        <f t="shared" si="144"/>
        <v>71.405750798722039</v>
      </c>
      <c r="V265" s="472">
        <f t="shared" si="146"/>
        <v>895000</v>
      </c>
      <c r="W265" s="472">
        <f t="shared" si="142"/>
        <v>28.594249201277954</v>
      </c>
      <c r="X265" s="472">
        <f t="shared" si="147"/>
        <v>3565000</v>
      </c>
      <c r="Y265" s="517"/>
    </row>
    <row r="266" spans="1:53" s="484" customFormat="1">
      <c r="A266" s="481">
        <v>41</v>
      </c>
      <c r="B266" s="482">
        <v>1</v>
      </c>
      <c r="C266" s="482" t="s">
        <v>66</v>
      </c>
      <c r="D266" s="482" t="s">
        <v>93</v>
      </c>
      <c r="E266" s="482" t="s">
        <v>87</v>
      </c>
      <c r="F266" s="482" t="s">
        <v>97</v>
      </c>
      <c r="G266" s="153" t="s">
        <v>187</v>
      </c>
      <c r="H266" s="153"/>
      <c r="I266" s="144">
        <f>SUM(I267:I272)</f>
        <v>34970000</v>
      </c>
      <c r="J266" s="144">
        <f t="shared" ref="J266:N266" si="183">SUM(J267:J272)</f>
        <v>17530000</v>
      </c>
      <c r="K266" s="144">
        <f t="shared" si="183"/>
        <v>10905000</v>
      </c>
      <c r="L266" s="144">
        <f t="shared" si="183"/>
        <v>5875000</v>
      </c>
      <c r="M266" s="144">
        <f t="shared" si="183"/>
        <v>660000</v>
      </c>
      <c r="N266" s="144">
        <f t="shared" si="183"/>
        <v>28435000</v>
      </c>
      <c r="O266" s="154">
        <f t="shared" si="143"/>
        <v>81.312553617386328</v>
      </c>
      <c r="P266" s="483">
        <f>SUM(P267:P272)</f>
        <v>0</v>
      </c>
      <c r="Q266" s="134">
        <f t="shared" ref="Q266:T266" si="184">SUM(Q267:Q272)</f>
        <v>14533590</v>
      </c>
      <c r="R266" s="134">
        <f t="shared" si="184"/>
        <v>0</v>
      </c>
      <c r="S266" s="134">
        <f t="shared" si="184"/>
        <v>0</v>
      </c>
      <c r="T266" s="134">
        <f t="shared" si="184"/>
        <v>14533590</v>
      </c>
      <c r="U266" s="521">
        <f t="shared" si="144"/>
        <v>51.111622999824156</v>
      </c>
      <c r="V266" s="135">
        <f t="shared" ref="V266:V273" si="185">N266-T266</f>
        <v>13901410</v>
      </c>
      <c r="W266" s="521">
        <f t="shared" si="142"/>
        <v>48.888377000175844</v>
      </c>
      <c r="X266" s="135">
        <f t="shared" ref="X266:X273" si="186">I266-T266</f>
        <v>20436410</v>
      </c>
      <c r="Y266" s="522"/>
      <c r="Z266" s="540"/>
      <c r="AA266" s="540"/>
      <c r="AB266" s="540"/>
      <c r="AC266" s="540"/>
      <c r="AD266" s="540"/>
      <c r="AE266" s="540"/>
      <c r="AF266" s="540"/>
      <c r="AG266" s="540"/>
      <c r="AH266" s="540"/>
      <c r="AI266" s="540"/>
      <c r="AJ266" s="540"/>
      <c r="AK266" s="540"/>
      <c r="AL266" s="540"/>
      <c r="AM266" s="540"/>
      <c r="AN266" s="540"/>
      <c r="AO266" s="540"/>
      <c r="AP266" s="540"/>
      <c r="AQ266" s="540"/>
      <c r="AR266" s="540"/>
      <c r="AS266" s="540"/>
      <c r="AT266" s="540"/>
      <c r="AU266" s="540"/>
      <c r="AV266" s="540"/>
      <c r="AW266" s="540"/>
      <c r="AX266" s="540"/>
      <c r="AY266" s="540"/>
      <c r="AZ266" s="540"/>
      <c r="BA266" s="540"/>
    </row>
    <row r="267" spans="1:53" ht="18" customHeight="1">
      <c r="A267" s="447"/>
      <c r="B267" s="475" t="s">
        <v>72</v>
      </c>
      <c r="C267" s="475" t="s">
        <v>73</v>
      </c>
      <c r="D267" s="475" t="s">
        <v>68</v>
      </c>
      <c r="E267" s="475" t="s">
        <v>68</v>
      </c>
      <c r="F267" s="475" t="s">
        <v>74</v>
      </c>
      <c r="G267" s="22" t="s">
        <v>178</v>
      </c>
      <c r="H267" s="22"/>
      <c r="I267" s="13">
        <v>710000</v>
      </c>
      <c r="J267" s="13">
        <v>200000</v>
      </c>
      <c r="K267" s="13">
        <v>350000</v>
      </c>
      <c r="L267" s="13">
        <v>160000</v>
      </c>
      <c r="M267" s="17">
        <v>0</v>
      </c>
      <c r="N267" s="20">
        <f>J267+K267</f>
        <v>550000</v>
      </c>
      <c r="O267" s="136">
        <f t="shared" si="143"/>
        <v>77.464788732394368</v>
      </c>
      <c r="P267" s="20"/>
      <c r="Q267" s="472"/>
      <c r="R267" s="20"/>
      <c r="S267" s="20"/>
      <c r="T267" s="466">
        <f>P267+Q267</f>
        <v>0</v>
      </c>
      <c r="U267" s="472">
        <f t="shared" si="144"/>
        <v>0</v>
      </c>
      <c r="V267" s="472">
        <f t="shared" si="185"/>
        <v>550000</v>
      </c>
      <c r="W267" s="472">
        <f t="shared" si="142"/>
        <v>100</v>
      </c>
      <c r="X267" s="472">
        <f t="shared" si="186"/>
        <v>710000</v>
      </c>
      <c r="Y267" s="517"/>
    </row>
    <row r="268" spans="1:53" ht="18" customHeight="1">
      <c r="A268" s="447"/>
      <c r="B268" s="475" t="s">
        <v>72</v>
      </c>
      <c r="C268" s="475" t="s">
        <v>73</v>
      </c>
      <c r="D268" s="475" t="s">
        <v>68</v>
      </c>
      <c r="E268" s="475" t="s">
        <v>68</v>
      </c>
      <c r="F268" s="475" t="s">
        <v>308</v>
      </c>
      <c r="G268" s="22" t="s">
        <v>309</v>
      </c>
      <c r="H268" s="22"/>
      <c r="I268" s="13">
        <v>950000</v>
      </c>
      <c r="J268" s="13">
        <v>250000</v>
      </c>
      <c r="K268" s="13">
        <v>250000</v>
      </c>
      <c r="L268" s="13">
        <v>450000</v>
      </c>
      <c r="M268" s="17">
        <v>0</v>
      </c>
      <c r="N268" s="20">
        <f t="shared" ref="N268:N272" si="187">J268+K268</f>
        <v>500000</v>
      </c>
      <c r="O268" s="136">
        <f t="shared" si="143"/>
        <v>52.631578947368418</v>
      </c>
      <c r="P268" s="20"/>
      <c r="Q268" s="472"/>
      <c r="R268" s="20"/>
      <c r="S268" s="20"/>
      <c r="T268" s="466">
        <f t="shared" ref="T268:T272" si="188">P268+Q268</f>
        <v>0</v>
      </c>
      <c r="U268" s="472">
        <f t="shared" si="144"/>
        <v>0</v>
      </c>
      <c r="V268" s="472">
        <f t="shared" si="185"/>
        <v>500000</v>
      </c>
      <c r="W268" s="472">
        <f t="shared" si="142"/>
        <v>100</v>
      </c>
      <c r="X268" s="472">
        <f t="shared" si="186"/>
        <v>950000</v>
      </c>
      <c r="Y268" s="517"/>
    </row>
    <row r="269" spans="1:53" ht="18" customHeight="1">
      <c r="A269" s="447"/>
      <c r="B269" s="475" t="s">
        <v>72</v>
      </c>
      <c r="C269" s="475" t="s">
        <v>73</v>
      </c>
      <c r="D269" s="475" t="s">
        <v>68</v>
      </c>
      <c r="E269" s="475" t="s">
        <v>68</v>
      </c>
      <c r="F269" s="475" t="s">
        <v>76</v>
      </c>
      <c r="G269" s="22" t="s">
        <v>179</v>
      </c>
      <c r="H269" s="22"/>
      <c r="I269" s="13">
        <v>300000</v>
      </c>
      <c r="J269" s="13">
        <v>100000</v>
      </c>
      <c r="K269" s="13">
        <v>50000</v>
      </c>
      <c r="L269" s="13">
        <v>50000</v>
      </c>
      <c r="M269" s="17">
        <v>100000</v>
      </c>
      <c r="N269" s="20">
        <f t="shared" si="187"/>
        <v>150000</v>
      </c>
      <c r="O269" s="136">
        <f t="shared" si="143"/>
        <v>50</v>
      </c>
      <c r="P269" s="20"/>
      <c r="Q269" s="472"/>
      <c r="R269" s="20"/>
      <c r="S269" s="20"/>
      <c r="T269" s="466">
        <f t="shared" si="188"/>
        <v>0</v>
      </c>
      <c r="U269" s="472">
        <f t="shared" si="144"/>
        <v>0</v>
      </c>
      <c r="V269" s="472">
        <f t="shared" si="185"/>
        <v>150000</v>
      </c>
      <c r="W269" s="472">
        <f t="shared" si="142"/>
        <v>100</v>
      </c>
      <c r="X269" s="472">
        <f t="shared" si="186"/>
        <v>300000</v>
      </c>
      <c r="Y269" s="517"/>
    </row>
    <row r="270" spans="1:53" ht="18" customHeight="1">
      <c r="A270" s="447"/>
      <c r="B270" s="475" t="s">
        <v>72</v>
      </c>
      <c r="C270" s="475" t="s">
        <v>73</v>
      </c>
      <c r="D270" s="475" t="s">
        <v>68</v>
      </c>
      <c r="E270" s="475" t="s">
        <v>68</v>
      </c>
      <c r="F270" s="475" t="s">
        <v>190</v>
      </c>
      <c r="G270" s="22" t="s">
        <v>310</v>
      </c>
      <c r="H270" s="22"/>
      <c r="I270" s="13">
        <v>375000</v>
      </c>
      <c r="J270" s="13">
        <v>0</v>
      </c>
      <c r="K270" s="13">
        <v>0</v>
      </c>
      <c r="L270" s="13">
        <v>375000</v>
      </c>
      <c r="M270" s="17">
        <v>0</v>
      </c>
      <c r="N270" s="20">
        <f t="shared" si="187"/>
        <v>0</v>
      </c>
      <c r="O270" s="136">
        <f t="shared" si="143"/>
        <v>0</v>
      </c>
      <c r="P270" s="20"/>
      <c r="Q270" s="472"/>
      <c r="R270" s="20"/>
      <c r="S270" s="20"/>
      <c r="T270" s="466">
        <f t="shared" si="188"/>
        <v>0</v>
      </c>
      <c r="U270" s="472" t="e">
        <f t="shared" si="144"/>
        <v>#DIV/0!</v>
      </c>
      <c r="V270" s="472">
        <f t="shared" si="185"/>
        <v>0</v>
      </c>
      <c r="W270" s="472" t="e">
        <f t="shared" si="142"/>
        <v>#DIV/0!</v>
      </c>
      <c r="X270" s="472">
        <f t="shared" si="186"/>
        <v>375000</v>
      </c>
      <c r="Y270" s="517"/>
    </row>
    <row r="271" spans="1:53" ht="18" customHeight="1">
      <c r="A271" s="447"/>
      <c r="B271" s="475" t="s">
        <v>72</v>
      </c>
      <c r="C271" s="475" t="s">
        <v>73</v>
      </c>
      <c r="D271" s="475" t="s">
        <v>68</v>
      </c>
      <c r="E271" s="475" t="s">
        <v>68</v>
      </c>
      <c r="F271" s="475" t="s">
        <v>78</v>
      </c>
      <c r="G271" s="22" t="s">
        <v>79</v>
      </c>
      <c r="H271" s="22"/>
      <c r="I271" s="13">
        <v>1225000</v>
      </c>
      <c r="J271" s="13">
        <v>700000</v>
      </c>
      <c r="K271" s="13">
        <v>525000</v>
      </c>
      <c r="L271" s="13">
        <v>0</v>
      </c>
      <c r="M271" s="17">
        <v>0</v>
      </c>
      <c r="N271" s="20">
        <f t="shared" si="187"/>
        <v>1225000</v>
      </c>
      <c r="O271" s="136">
        <f t="shared" si="143"/>
        <v>100</v>
      </c>
      <c r="P271" s="20"/>
      <c r="Q271" s="472"/>
      <c r="R271" s="20"/>
      <c r="S271" s="20"/>
      <c r="T271" s="466">
        <f t="shared" si="188"/>
        <v>0</v>
      </c>
      <c r="U271" s="472">
        <f t="shared" si="144"/>
        <v>0</v>
      </c>
      <c r="V271" s="472">
        <f t="shared" si="185"/>
        <v>1225000</v>
      </c>
      <c r="W271" s="472">
        <f t="shared" si="142"/>
        <v>100</v>
      </c>
      <c r="X271" s="472">
        <f t="shared" si="186"/>
        <v>1225000</v>
      </c>
      <c r="Y271" s="517"/>
    </row>
    <row r="272" spans="1:53" ht="18" customHeight="1">
      <c r="A272" s="447"/>
      <c r="B272" s="475" t="s">
        <v>72</v>
      </c>
      <c r="C272" s="475" t="s">
        <v>73</v>
      </c>
      <c r="D272" s="475" t="s">
        <v>80</v>
      </c>
      <c r="E272" s="475" t="s">
        <v>68</v>
      </c>
      <c r="F272" s="475" t="s">
        <v>81</v>
      </c>
      <c r="G272" s="22" t="s">
        <v>82</v>
      </c>
      <c r="H272" s="22"/>
      <c r="I272" s="13">
        <v>31410000</v>
      </c>
      <c r="J272" s="13">
        <v>16280000</v>
      </c>
      <c r="K272" s="13">
        <v>9730000</v>
      </c>
      <c r="L272" s="13">
        <v>4840000</v>
      </c>
      <c r="M272" s="17">
        <v>560000</v>
      </c>
      <c r="N272" s="20">
        <f t="shared" si="187"/>
        <v>26010000</v>
      </c>
      <c r="O272" s="136">
        <f t="shared" si="143"/>
        <v>82.808022922636098</v>
      </c>
      <c r="P272" s="20"/>
      <c r="Q272" s="472">
        <f>14533590</f>
        <v>14533590</v>
      </c>
      <c r="R272" s="20"/>
      <c r="S272" s="20"/>
      <c r="T272" s="466">
        <f t="shared" si="188"/>
        <v>14533590</v>
      </c>
      <c r="U272" s="472">
        <f t="shared" si="144"/>
        <v>55.876931949250285</v>
      </c>
      <c r="V272" s="472">
        <f t="shared" si="185"/>
        <v>11476410</v>
      </c>
      <c r="W272" s="472">
        <f t="shared" si="142"/>
        <v>44.123068050749715</v>
      </c>
      <c r="X272" s="472">
        <f t="shared" si="186"/>
        <v>16876410</v>
      </c>
      <c r="Y272" s="517"/>
    </row>
    <row r="273" spans="1:53" s="526" customFormat="1" ht="29.25" customHeight="1">
      <c r="A273" s="455"/>
      <c r="B273" s="510"/>
      <c r="C273" s="510"/>
      <c r="D273" s="510"/>
      <c r="E273" s="510"/>
      <c r="F273" s="510"/>
      <c r="G273" s="524"/>
      <c r="H273" s="524"/>
      <c r="I273" s="525">
        <f>I8</f>
        <v>4565959550</v>
      </c>
      <c r="J273" s="525">
        <f>J8</f>
        <v>1314084322</v>
      </c>
      <c r="K273" s="525">
        <f t="shared" ref="K273:N273" si="189">K8</f>
        <v>1400860238</v>
      </c>
      <c r="L273" s="525">
        <f t="shared" si="189"/>
        <v>1033231220</v>
      </c>
      <c r="M273" s="525">
        <f t="shared" si="189"/>
        <v>817783770</v>
      </c>
      <c r="N273" s="525">
        <f t="shared" si="189"/>
        <v>2714944560</v>
      </c>
      <c r="O273" s="128">
        <f t="shared" si="143"/>
        <v>59.460547783433604</v>
      </c>
      <c r="P273" s="32">
        <f>P8</f>
        <v>386388504</v>
      </c>
      <c r="Q273" s="129">
        <f t="shared" ref="Q273:T273" si="190">Q8</f>
        <v>952985708</v>
      </c>
      <c r="R273" s="32">
        <f t="shared" si="190"/>
        <v>0</v>
      </c>
      <c r="S273" s="32">
        <f t="shared" si="190"/>
        <v>0</v>
      </c>
      <c r="T273" s="129">
        <f t="shared" si="190"/>
        <v>1339374212</v>
      </c>
      <c r="U273" s="129">
        <f t="shared" si="144"/>
        <v>49.333390881469782</v>
      </c>
      <c r="V273" s="129">
        <f t="shared" si="185"/>
        <v>1375570348</v>
      </c>
      <c r="W273" s="129">
        <f t="shared" si="142"/>
        <v>50.666609118530218</v>
      </c>
      <c r="X273" s="129">
        <f t="shared" si="186"/>
        <v>3226585338</v>
      </c>
      <c r="Y273" s="129">
        <f t="shared" si="145"/>
        <v>70.666095541735586</v>
      </c>
      <c r="Z273" s="533"/>
      <c r="AA273" s="533"/>
      <c r="AB273" s="533"/>
      <c r="AC273" s="533"/>
      <c r="AD273" s="533"/>
      <c r="AE273" s="533"/>
      <c r="AF273" s="533"/>
      <c r="AG273" s="533"/>
      <c r="AH273" s="533"/>
      <c r="AI273" s="533"/>
      <c r="AJ273" s="533"/>
      <c r="AK273" s="533"/>
      <c r="AL273" s="533"/>
      <c r="AM273" s="533"/>
      <c r="AN273" s="533"/>
      <c r="AO273" s="533"/>
      <c r="AP273" s="533"/>
      <c r="AQ273" s="533"/>
      <c r="AR273" s="533"/>
      <c r="AS273" s="533"/>
      <c r="AT273" s="533"/>
      <c r="AU273" s="533"/>
      <c r="AV273" s="533"/>
      <c r="AW273" s="533"/>
      <c r="AX273" s="533"/>
      <c r="AY273" s="533"/>
      <c r="AZ273" s="533"/>
      <c r="BA273" s="533"/>
    </row>
    <row r="274" spans="1:53" s="526" customFormat="1" ht="15" customHeight="1">
      <c r="A274" s="8"/>
      <c r="B274" s="155"/>
      <c r="C274" s="155"/>
      <c r="D274" s="155"/>
      <c r="E274" s="155"/>
      <c r="F274" s="155"/>
      <c r="G274" s="24"/>
      <c r="H274" s="24"/>
      <c r="I274" s="30"/>
      <c r="J274" s="30"/>
      <c r="K274" s="30"/>
      <c r="L274" s="30"/>
      <c r="M274" s="30"/>
      <c r="N274" s="28"/>
      <c r="O274" s="156"/>
      <c r="P274" s="157"/>
      <c r="Q274" s="527"/>
      <c r="R274" s="157"/>
      <c r="S274" s="157"/>
      <c r="T274" s="157"/>
      <c r="U274" s="157"/>
      <c r="V274" s="527"/>
      <c r="W274" s="528"/>
      <c r="X274" s="528"/>
      <c r="Y274" s="31">
        <f>T273/I273*100</f>
        <v>29.333904458264421</v>
      </c>
      <c r="Z274" s="533"/>
      <c r="AA274" s="533"/>
      <c r="AB274" s="533"/>
      <c r="AC274" s="533"/>
      <c r="AD274" s="533"/>
      <c r="AE274" s="533"/>
      <c r="AF274" s="533"/>
      <c r="AG274" s="533"/>
      <c r="AH274" s="533"/>
      <c r="AI274" s="533"/>
      <c r="AJ274" s="533"/>
      <c r="AK274" s="533"/>
      <c r="AL274" s="533"/>
      <c r="AM274" s="533"/>
      <c r="AN274" s="533"/>
      <c r="AO274" s="533"/>
      <c r="AP274" s="533"/>
      <c r="AQ274" s="533"/>
      <c r="AR274" s="533"/>
      <c r="AS274" s="533"/>
      <c r="AT274" s="533"/>
      <c r="AU274" s="533"/>
      <c r="AV274" s="533"/>
      <c r="AW274" s="533"/>
      <c r="AX274" s="533"/>
      <c r="AY274" s="533"/>
      <c r="AZ274" s="533"/>
      <c r="BA274" s="533"/>
    </row>
    <row r="275" spans="1:53" s="526" customFormat="1" ht="15" customHeight="1">
      <c r="A275" s="8"/>
      <c r="B275" s="155"/>
      <c r="C275" s="155"/>
      <c r="D275" s="155"/>
      <c r="E275" s="155"/>
      <c r="F275" s="155"/>
      <c r="G275" s="24"/>
      <c r="H275" s="24"/>
      <c r="I275" s="30"/>
      <c r="J275" s="30"/>
      <c r="K275" s="30"/>
      <c r="L275" s="30"/>
      <c r="M275" s="30"/>
      <c r="N275" s="27"/>
      <c r="O275" s="529"/>
      <c r="P275" s="527"/>
      <c r="Q275" s="527"/>
      <c r="R275" s="527"/>
      <c r="S275" s="527"/>
      <c r="T275" s="530"/>
      <c r="U275" s="157"/>
      <c r="V275" s="622" t="s">
        <v>737</v>
      </c>
      <c r="W275" s="622"/>
      <c r="X275" s="532"/>
      <c r="Y275" s="533"/>
      <c r="Z275" s="533"/>
      <c r="AA275" s="533"/>
      <c r="AB275" s="533"/>
      <c r="AC275" s="533"/>
      <c r="AD275" s="533"/>
      <c r="AE275" s="533"/>
      <c r="AF275" s="533"/>
      <c r="AG275" s="533"/>
      <c r="AH275" s="533"/>
      <c r="AI275" s="533"/>
      <c r="AJ275" s="533"/>
      <c r="AK275" s="533"/>
      <c r="AL275" s="533"/>
      <c r="AM275" s="533"/>
      <c r="AN275" s="533"/>
      <c r="AO275" s="533"/>
      <c r="AP275" s="533"/>
      <c r="AQ275" s="533"/>
      <c r="AR275" s="533"/>
      <c r="AS275" s="533"/>
      <c r="AT275" s="533"/>
      <c r="AU275" s="533"/>
      <c r="AV275" s="533"/>
      <c r="AW275" s="533"/>
      <c r="AX275" s="533"/>
      <c r="AY275" s="533"/>
      <c r="AZ275" s="533"/>
      <c r="BA275" s="533"/>
    </row>
    <row r="276" spans="1:53" s="526" customFormat="1" ht="15" customHeight="1">
      <c r="A276" s="8"/>
      <c r="B276" s="155"/>
      <c r="C276" s="155"/>
      <c r="D276" s="155"/>
      <c r="E276" s="155"/>
      <c r="F276" s="155"/>
      <c r="G276" s="24"/>
      <c r="H276" s="24"/>
      <c r="I276" s="30"/>
      <c r="J276" s="30"/>
      <c r="K276" s="30"/>
      <c r="L276" s="30"/>
      <c r="M276" s="30"/>
      <c r="N276" s="30"/>
      <c r="O276" s="156"/>
      <c r="P276" s="157"/>
      <c r="Q276" s="527"/>
      <c r="R276" s="157"/>
      <c r="S276" s="157"/>
      <c r="T276" s="157"/>
      <c r="U276" s="534" t="s">
        <v>231</v>
      </c>
      <c r="V276" s="622" t="s">
        <v>24</v>
      </c>
      <c r="W276" s="622"/>
      <c r="X276" s="532"/>
      <c r="Y276" s="533"/>
      <c r="Z276" s="533"/>
      <c r="AA276" s="533"/>
      <c r="AB276" s="533"/>
      <c r="AC276" s="533"/>
      <c r="AD276" s="533"/>
      <c r="AE276" s="533"/>
      <c r="AF276" s="533"/>
      <c r="AG276" s="533"/>
      <c r="AH276" s="533"/>
      <c r="AI276" s="533"/>
      <c r="AJ276" s="533"/>
      <c r="AK276" s="533"/>
      <c r="AL276" s="533"/>
      <c r="AM276" s="533"/>
      <c r="AN276" s="533"/>
      <c r="AO276" s="533"/>
      <c r="AP276" s="533"/>
      <c r="AQ276" s="533"/>
      <c r="AR276" s="533"/>
      <c r="AS276" s="533"/>
      <c r="AT276" s="533"/>
      <c r="AU276" s="533"/>
      <c r="AV276" s="533"/>
      <c r="AW276" s="533"/>
      <c r="AX276" s="533"/>
      <c r="AY276" s="533"/>
      <c r="AZ276" s="533"/>
      <c r="BA276" s="533"/>
    </row>
    <row r="277" spans="1:53" s="526" customFormat="1" ht="15" customHeight="1">
      <c r="A277" s="8"/>
      <c r="B277" s="155"/>
      <c r="C277" s="155"/>
      <c r="D277" s="155"/>
      <c r="E277" s="155"/>
      <c r="F277" s="155"/>
      <c r="G277" s="24"/>
      <c r="H277" s="24"/>
      <c r="I277" s="30"/>
      <c r="J277" s="30"/>
      <c r="K277" s="30"/>
      <c r="L277" s="30"/>
      <c r="M277" s="30"/>
      <c r="N277" s="30"/>
      <c r="O277" s="156"/>
      <c r="P277" s="157"/>
      <c r="Q277" s="527"/>
      <c r="R277" s="157"/>
      <c r="S277" s="157"/>
      <c r="T277" s="157"/>
      <c r="U277"/>
      <c r="V277" s="531"/>
      <c r="W277" s="531"/>
      <c r="X277" s="532"/>
      <c r="Y277" s="533"/>
      <c r="Z277" s="533"/>
      <c r="AA277" s="533"/>
      <c r="AB277" s="533"/>
      <c r="AC277" s="533"/>
      <c r="AD277" s="533"/>
      <c r="AE277" s="533"/>
      <c r="AF277" s="533"/>
      <c r="AG277" s="533"/>
      <c r="AH277" s="533"/>
      <c r="AI277" s="533"/>
      <c r="AJ277" s="533"/>
      <c r="AK277" s="533"/>
      <c r="AL277" s="533"/>
      <c r="AM277" s="533"/>
      <c r="AN277" s="533"/>
      <c r="AO277" s="533"/>
      <c r="AP277" s="533"/>
      <c r="AQ277" s="533"/>
      <c r="AR277" s="533"/>
      <c r="AS277" s="533"/>
      <c r="AT277" s="533"/>
      <c r="AU277" s="533"/>
      <c r="AV277" s="533"/>
      <c r="AW277" s="533"/>
      <c r="AX277" s="533"/>
      <c r="AY277" s="533"/>
      <c r="AZ277" s="533"/>
      <c r="BA277" s="533"/>
    </row>
    <row r="278" spans="1:53" s="526" customFormat="1" ht="15" customHeight="1">
      <c r="A278" s="8"/>
      <c r="B278" s="155"/>
      <c r="C278" s="155"/>
      <c r="D278" s="155"/>
      <c r="E278" s="155"/>
      <c r="F278" s="155"/>
      <c r="G278" s="24"/>
      <c r="H278" s="24"/>
      <c r="I278" s="30"/>
      <c r="J278" s="30"/>
      <c r="K278" s="30"/>
      <c r="L278" s="30"/>
      <c r="M278" s="30"/>
      <c r="N278" s="30"/>
      <c r="O278" s="156"/>
      <c r="P278" s="157"/>
      <c r="Q278" s="527"/>
      <c r="R278" s="157"/>
      <c r="S278" s="157"/>
      <c r="T278" s="157"/>
      <c r="U278" s="157"/>
      <c r="V278" s="531"/>
      <c r="W278" s="531"/>
      <c r="X278" s="532"/>
      <c r="Y278" s="533"/>
      <c r="Z278" s="533"/>
      <c r="AA278" s="533"/>
      <c r="AB278" s="533"/>
      <c r="AC278" s="533"/>
      <c r="AD278" s="533"/>
      <c r="AE278" s="533"/>
      <c r="AF278" s="533"/>
      <c r="AG278" s="533"/>
      <c r="AH278" s="533"/>
      <c r="AI278" s="533"/>
      <c r="AJ278" s="533"/>
      <c r="AK278" s="533"/>
      <c r="AL278" s="533"/>
      <c r="AM278" s="533"/>
      <c r="AN278" s="533"/>
      <c r="AO278" s="533"/>
      <c r="AP278" s="533"/>
      <c r="AQ278" s="533"/>
      <c r="AR278" s="533"/>
      <c r="AS278" s="533"/>
      <c r="AT278" s="533"/>
      <c r="AU278" s="533"/>
      <c r="AV278" s="533"/>
      <c r="AW278" s="533"/>
      <c r="AX278" s="533"/>
      <c r="AY278" s="533"/>
      <c r="AZ278" s="533"/>
      <c r="BA278" s="533"/>
    </row>
    <row r="279" spans="1:53" s="526" customFormat="1" ht="15" customHeight="1">
      <c r="A279" s="8"/>
      <c r="B279" s="155"/>
      <c r="C279" s="155"/>
      <c r="D279" s="155"/>
      <c r="E279" s="155"/>
      <c r="F279" s="155"/>
      <c r="G279" s="24"/>
      <c r="H279" s="24"/>
      <c r="I279" s="30"/>
      <c r="J279" s="30"/>
      <c r="K279" s="30"/>
      <c r="L279" s="30"/>
      <c r="M279" s="30"/>
      <c r="N279" s="30"/>
      <c r="O279" s="156"/>
      <c r="P279" s="157"/>
      <c r="Q279" s="527"/>
      <c r="R279" s="157"/>
      <c r="S279" s="157"/>
      <c r="T279" s="157"/>
      <c r="U279" s="157"/>
      <c r="V279" s="531"/>
      <c r="W279" s="531"/>
      <c r="X279" s="532"/>
      <c r="Y279" s="533"/>
      <c r="Z279" s="533"/>
      <c r="AA279" s="533"/>
      <c r="AB279" s="533"/>
      <c r="AC279" s="533"/>
      <c r="AD279" s="533"/>
      <c r="AE279" s="533"/>
      <c r="AF279" s="533"/>
      <c r="AG279" s="533"/>
      <c r="AH279" s="533"/>
      <c r="AI279" s="533"/>
      <c r="AJ279" s="533"/>
      <c r="AK279" s="533"/>
      <c r="AL279" s="533"/>
      <c r="AM279" s="533"/>
      <c r="AN279" s="533"/>
      <c r="AO279" s="533"/>
      <c r="AP279" s="533"/>
      <c r="AQ279" s="533"/>
      <c r="AR279" s="533"/>
      <c r="AS279" s="533"/>
      <c r="AT279" s="533"/>
      <c r="AU279" s="533"/>
      <c r="AV279" s="533"/>
      <c r="AW279" s="533"/>
      <c r="AX279" s="533"/>
      <c r="AY279" s="533"/>
      <c r="AZ279" s="533"/>
      <c r="BA279" s="533"/>
    </row>
    <row r="280" spans="1:53" s="526" customFormat="1" ht="15" customHeight="1">
      <c r="A280" s="8"/>
      <c r="B280" s="155"/>
      <c r="C280" s="155"/>
      <c r="D280" s="155"/>
      <c r="E280" s="155"/>
      <c r="F280" s="155"/>
      <c r="G280" s="24"/>
      <c r="H280" s="24"/>
      <c r="I280" s="30"/>
      <c r="J280" s="30"/>
      <c r="K280" s="30"/>
      <c r="L280" s="30"/>
      <c r="M280" s="30"/>
      <c r="N280" s="30"/>
      <c r="O280" s="156"/>
      <c r="P280" s="157"/>
      <c r="Q280" s="527"/>
      <c r="R280" s="157"/>
      <c r="S280" s="157"/>
      <c r="T280" s="157"/>
      <c r="U280" s="157"/>
      <c r="V280" s="623" t="s">
        <v>25</v>
      </c>
      <c r="W280" s="623"/>
      <c r="X280" s="532"/>
      <c r="Y280" s="533"/>
      <c r="Z280" s="533"/>
      <c r="AA280" s="533"/>
      <c r="AB280" s="533"/>
      <c r="AC280" s="533"/>
      <c r="AD280" s="533"/>
      <c r="AE280" s="533"/>
      <c r="AF280" s="533"/>
      <c r="AG280" s="533"/>
      <c r="AH280" s="533"/>
      <c r="AI280" s="533"/>
      <c r="AJ280" s="533"/>
      <c r="AK280" s="533"/>
      <c r="AL280" s="533"/>
      <c r="AM280" s="533"/>
      <c r="AN280" s="533"/>
      <c r="AO280" s="533"/>
      <c r="AP280" s="533"/>
      <c r="AQ280" s="533"/>
      <c r="AR280" s="533"/>
      <c r="AS280" s="533"/>
      <c r="AT280" s="533"/>
      <c r="AU280" s="533"/>
      <c r="AV280" s="533"/>
      <c r="AW280" s="533"/>
      <c r="AX280" s="533"/>
      <c r="AY280" s="533"/>
      <c r="AZ280" s="533"/>
      <c r="BA280" s="533"/>
    </row>
    <row r="281" spans="1:53" s="526" customFormat="1" ht="15" customHeight="1">
      <c r="A281" s="8"/>
      <c r="B281" s="155"/>
      <c r="C281" s="155"/>
      <c r="D281" s="155"/>
      <c r="E281" s="155"/>
      <c r="F281" s="155"/>
      <c r="G281" s="24"/>
      <c r="H281" s="24"/>
      <c r="I281" s="30"/>
      <c r="J281" s="30"/>
      <c r="K281" s="30"/>
      <c r="L281" s="30"/>
      <c r="M281" s="30"/>
      <c r="N281" s="30"/>
      <c r="O281" s="156"/>
      <c r="P281" s="157"/>
      <c r="Q281" s="527"/>
      <c r="R281" s="157"/>
      <c r="S281" s="157"/>
      <c r="T281" s="157"/>
      <c r="U281" s="157"/>
      <c r="V281" s="622" t="s">
        <v>26</v>
      </c>
      <c r="W281" s="622"/>
      <c r="X281" s="622"/>
      <c r="Y281" s="533"/>
      <c r="Z281" s="533"/>
      <c r="AA281" s="533"/>
      <c r="AB281" s="533"/>
      <c r="AC281" s="533"/>
      <c r="AD281" s="533"/>
      <c r="AE281" s="533"/>
      <c r="AF281" s="533"/>
      <c r="AG281" s="533"/>
      <c r="AH281" s="533"/>
      <c r="AI281" s="533"/>
      <c r="AJ281" s="533"/>
      <c r="AK281" s="533"/>
      <c r="AL281" s="533"/>
      <c r="AM281" s="533"/>
      <c r="AN281" s="533"/>
      <c r="AO281" s="533"/>
      <c r="AP281" s="533"/>
      <c r="AQ281" s="533"/>
      <c r="AR281" s="533"/>
      <c r="AS281" s="533"/>
      <c r="AT281" s="533"/>
      <c r="AU281" s="533"/>
      <c r="AV281" s="533"/>
      <c r="AW281" s="533"/>
      <c r="AX281" s="533"/>
      <c r="AY281" s="533"/>
      <c r="AZ281" s="533"/>
      <c r="BA281" s="533"/>
    </row>
    <row r="282" spans="1:53" s="526" customFormat="1" ht="15" customHeight="1">
      <c r="A282" s="8"/>
      <c r="B282" s="155"/>
      <c r="C282" s="155"/>
      <c r="D282" s="155"/>
      <c r="E282" s="155"/>
      <c r="F282" s="155"/>
      <c r="G282" s="24"/>
      <c r="H282" s="24"/>
      <c r="I282" s="30"/>
      <c r="J282" s="30"/>
      <c r="K282" s="30"/>
      <c r="L282" s="30"/>
      <c r="M282" s="30"/>
      <c r="N282" s="30"/>
      <c r="O282" s="156"/>
      <c r="P282" s="157"/>
      <c r="Q282" s="527"/>
      <c r="R282" s="157"/>
      <c r="S282" s="157"/>
      <c r="T282" s="157"/>
      <c r="U282" s="157"/>
      <c r="V282" s="622" t="s">
        <v>46</v>
      </c>
      <c r="W282" s="622"/>
      <c r="X282" s="622"/>
      <c r="Y282" s="533"/>
      <c r="Z282" s="533"/>
      <c r="AA282" s="533"/>
      <c r="AB282" s="533"/>
      <c r="AC282" s="533"/>
      <c r="AD282" s="533"/>
      <c r="AE282" s="533"/>
      <c r="AF282" s="533"/>
      <c r="AG282" s="533"/>
      <c r="AH282" s="533"/>
      <c r="AI282" s="533"/>
      <c r="AJ282" s="533"/>
      <c r="AK282" s="533"/>
      <c r="AL282" s="533"/>
      <c r="AM282" s="533"/>
      <c r="AN282" s="533"/>
      <c r="AO282" s="533"/>
      <c r="AP282" s="533"/>
      <c r="AQ282" s="533"/>
      <c r="AR282" s="533"/>
      <c r="AS282" s="533"/>
      <c r="AT282" s="533"/>
      <c r="AU282" s="533"/>
      <c r="AV282" s="533"/>
      <c r="AW282" s="533"/>
      <c r="AX282" s="533"/>
      <c r="AY282" s="533"/>
      <c r="AZ282" s="533"/>
      <c r="BA282" s="533"/>
    </row>
    <row r="283" spans="1:53" s="526" customFormat="1" ht="15" customHeight="1">
      <c r="A283" s="8"/>
      <c r="B283" s="155"/>
      <c r="C283" s="155"/>
      <c r="D283" s="155"/>
      <c r="E283" s="155"/>
      <c r="F283" s="155"/>
      <c r="G283" s="24"/>
      <c r="H283" s="24"/>
      <c r="I283" s="30"/>
      <c r="J283" s="30"/>
      <c r="K283" s="30"/>
      <c r="L283" s="30"/>
      <c r="M283" s="30"/>
      <c r="N283" s="30"/>
      <c r="O283" s="156"/>
      <c r="P283" s="157"/>
      <c r="Q283" s="527"/>
      <c r="R283" s="157"/>
      <c r="S283" s="157"/>
      <c r="T283" s="157"/>
      <c r="U283" s="157"/>
      <c r="V283" s="157"/>
      <c r="W283" s="25"/>
      <c r="X283" s="25"/>
      <c r="Y283" s="157"/>
      <c r="Z283" s="533"/>
      <c r="AA283" s="533"/>
      <c r="AB283" s="533"/>
      <c r="AC283" s="533"/>
      <c r="AD283" s="533"/>
      <c r="AE283" s="533"/>
      <c r="AF283" s="533"/>
      <c r="AG283" s="533"/>
      <c r="AH283" s="533"/>
      <c r="AI283" s="533"/>
      <c r="AJ283" s="533"/>
      <c r="AK283" s="533"/>
      <c r="AL283" s="533"/>
      <c r="AM283" s="533"/>
      <c r="AN283" s="533"/>
      <c r="AO283" s="533"/>
      <c r="AP283" s="533"/>
      <c r="AQ283" s="533"/>
      <c r="AR283" s="533"/>
      <c r="AS283" s="533"/>
      <c r="AT283" s="533"/>
      <c r="AU283" s="533"/>
      <c r="AV283" s="533"/>
      <c r="AW283" s="533"/>
      <c r="AX283" s="533"/>
      <c r="AY283" s="533"/>
      <c r="AZ283" s="533"/>
      <c r="BA283" s="533"/>
    </row>
  </sheetData>
  <mergeCells count="20">
    <mergeCell ref="V276:W276"/>
    <mergeCell ref="V280:W280"/>
    <mergeCell ref="V281:X281"/>
    <mergeCell ref="V282:X282"/>
    <mergeCell ref="N5:O5"/>
    <mergeCell ref="T5:U5"/>
    <mergeCell ref="V5:W5"/>
    <mergeCell ref="X5:Y5"/>
    <mergeCell ref="G7:Y7"/>
    <mergeCell ref="V275:W275"/>
    <mergeCell ref="B1:Y1"/>
    <mergeCell ref="B3:Y3"/>
    <mergeCell ref="B5:F5"/>
    <mergeCell ref="G5:G6"/>
    <mergeCell ref="H5:H6"/>
    <mergeCell ref="I5:I6"/>
    <mergeCell ref="J5:J6"/>
    <mergeCell ref="K5:K6"/>
    <mergeCell ref="L5:L6"/>
    <mergeCell ref="M5:M6"/>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27"/>
  <sheetViews>
    <sheetView topLeftCell="D11" zoomScale="70" zoomScaleNormal="70" zoomScaleSheetLayoutView="70" workbookViewId="0">
      <selection activeCell="K12" sqref="K12"/>
    </sheetView>
  </sheetViews>
  <sheetFormatPr defaultColWidth="8.85546875" defaultRowHeight="18.75"/>
  <cols>
    <col min="1" max="1" width="6.140625" style="2" customWidth="1"/>
    <col min="2" max="2" width="26.42578125" style="2" customWidth="1"/>
    <col min="3" max="3" width="24.5703125" style="2" customWidth="1"/>
    <col min="4" max="4" width="27" style="2" customWidth="1"/>
    <col min="5" max="5" width="21" style="2" customWidth="1"/>
    <col min="6" max="6" width="23.140625" style="2" customWidth="1"/>
    <col min="7" max="7" width="30" style="2" customWidth="1"/>
    <col min="8" max="8" width="23.5703125" style="2" customWidth="1"/>
    <col min="9" max="9" width="10.140625" style="4" customWidth="1"/>
    <col min="10" max="10" width="18.5703125" style="4" customWidth="1"/>
    <col min="11" max="12" width="12.7109375" style="4" customWidth="1"/>
    <col min="13" max="13" width="17.5703125" style="2" customWidth="1"/>
    <col min="14" max="14" width="38.5703125" style="2" customWidth="1"/>
    <col min="15" max="16" width="34" style="2" customWidth="1"/>
    <col min="17" max="16384" width="8.85546875" style="2"/>
  </cols>
  <sheetData>
    <row r="1" spans="1:16" s="6" customFormat="1" ht="21.95" customHeight="1">
      <c r="A1" s="629" t="s">
        <v>341</v>
      </c>
      <c r="B1" s="629"/>
      <c r="C1" s="629"/>
      <c r="D1" s="629"/>
      <c r="E1" s="629"/>
      <c r="F1" s="629"/>
      <c r="G1" s="629"/>
      <c r="H1" s="629"/>
      <c r="I1" s="629"/>
      <c r="J1" s="629"/>
      <c r="K1" s="629"/>
      <c r="L1" s="629"/>
      <c r="M1" s="629"/>
      <c r="N1" s="629"/>
      <c r="O1" s="5"/>
      <c r="P1" s="5"/>
    </row>
    <row r="2" spans="1:16" s="6" customFormat="1" ht="21.95" customHeight="1">
      <c r="A2" s="629" t="s">
        <v>44</v>
      </c>
      <c r="B2" s="629"/>
      <c r="C2" s="629"/>
      <c r="D2" s="629"/>
      <c r="E2" s="629"/>
      <c r="F2" s="629"/>
      <c r="G2" s="629"/>
      <c r="H2" s="629"/>
      <c r="I2" s="629"/>
      <c r="J2" s="629"/>
      <c r="K2" s="629"/>
      <c r="L2" s="629"/>
      <c r="M2" s="629"/>
      <c r="N2" s="629"/>
    </row>
    <row r="3" spans="1:16" s="6" customFormat="1" ht="21.95" customHeight="1">
      <c r="A3" s="629" t="s">
        <v>718</v>
      </c>
      <c r="B3" s="629"/>
      <c r="C3" s="629"/>
      <c r="D3" s="629"/>
      <c r="E3" s="629"/>
      <c r="F3" s="629"/>
      <c r="G3" s="629"/>
      <c r="H3" s="629"/>
      <c r="I3" s="629"/>
      <c r="J3" s="629"/>
      <c r="K3" s="629"/>
      <c r="L3" s="629"/>
      <c r="M3" s="629"/>
      <c r="N3" s="629"/>
    </row>
    <row r="4" spans="1:16" s="6" customFormat="1" ht="18.95" customHeight="1">
      <c r="A4" s="5"/>
      <c r="B4" s="5"/>
      <c r="C4" s="5"/>
      <c r="D4" s="5"/>
      <c r="E4" s="5"/>
      <c r="F4" s="5"/>
      <c r="G4" s="5"/>
      <c r="H4" s="5"/>
      <c r="I4" s="5"/>
      <c r="J4" s="5"/>
      <c r="K4" s="5"/>
      <c r="L4" s="5"/>
      <c r="M4" s="5"/>
    </row>
    <row r="5" spans="1:16" ht="39" customHeight="1">
      <c r="A5" s="630" t="s">
        <v>1</v>
      </c>
      <c r="B5" s="630" t="s">
        <v>2</v>
      </c>
      <c r="C5" s="645" t="s">
        <v>3</v>
      </c>
      <c r="D5" s="646"/>
      <c r="E5" s="646"/>
      <c r="F5" s="646"/>
      <c r="G5" s="646"/>
      <c r="H5" s="646"/>
      <c r="I5" s="646"/>
      <c r="J5" s="646"/>
      <c r="K5" s="646"/>
      <c r="L5" s="647"/>
      <c r="M5" s="630" t="s">
        <v>4</v>
      </c>
      <c r="N5" s="630" t="s">
        <v>38</v>
      </c>
    </row>
    <row r="6" spans="1:16" ht="29.1" customHeight="1">
      <c r="A6" s="631"/>
      <c r="B6" s="631"/>
      <c r="C6" s="642" t="s">
        <v>5</v>
      </c>
      <c r="D6" s="630" t="s">
        <v>41</v>
      </c>
      <c r="E6" s="642" t="s">
        <v>6</v>
      </c>
      <c r="F6" s="630" t="s">
        <v>42</v>
      </c>
      <c r="G6" s="642" t="s">
        <v>7</v>
      </c>
      <c r="H6" s="630" t="s">
        <v>43</v>
      </c>
      <c r="I6" s="633" t="s">
        <v>8</v>
      </c>
      <c r="J6" s="633"/>
      <c r="K6" s="633" t="s">
        <v>719</v>
      </c>
      <c r="L6" s="633"/>
      <c r="M6" s="631"/>
      <c r="N6" s="631"/>
    </row>
    <row r="7" spans="1:16" ht="29.1" customHeight="1">
      <c r="A7" s="631"/>
      <c r="B7" s="631"/>
      <c r="C7" s="643"/>
      <c r="D7" s="631"/>
      <c r="E7" s="643"/>
      <c r="F7" s="631"/>
      <c r="G7" s="643"/>
      <c r="H7" s="631"/>
      <c r="I7" s="640">
        <v>2023</v>
      </c>
      <c r="J7" s="641"/>
      <c r="K7" s="640">
        <v>2023</v>
      </c>
      <c r="L7" s="641"/>
      <c r="M7" s="631"/>
      <c r="N7" s="631"/>
    </row>
    <row r="8" spans="1:16" ht="29.1" customHeight="1">
      <c r="A8" s="632"/>
      <c r="B8" s="632"/>
      <c r="C8" s="644"/>
      <c r="D8" s="632"/>
      <c r="E8" s="644"/>
      <c r="F8" s="632"/>
      <c r="G8" s="644"/>
      <c r="H8" s="632"/>
      <c r="I8" s="125" t="s">
        <v>9</v>
      </c>
      <c r="J8" s="126" t="s">
        <v>10</v>
      </c>
      <c r="K8" s="125" t="s">
        <v>9</v>
      </c>
      <c r="L8" s="126" t="s">
        <v>10</v>
      </c>
      <c r="M8" s="632"/>
      <c r="N8" s="632"/>
    </row>
    <row r="9" spans="1:16" ht="27.6" customHeight="1">
      <c r="A9" s="7">
        <v>1</v>
      </c>
      <c r="B9" s="7">
        <v>2</v>
      </c>
      <c r="C9" s="7">
        <v>3</v>
      </c>
      <c r="D9" s="7">
        <v>4</v>
      </c>
      <c r="E9" s="7">
        <v>5</v>
      </c>
      <c r="F9" s="7">
        <v>6</v>
      </c>
      <c r="G9" s="7">
        <v>7</v>
      </c>
      <c r="H9" s="7">
        <v>8</v>
      </c>
      <c r="I9" s="637">
        <v>9</v>
      </c>
      <c r="J9" s="638"/>
      <c r="K9" s="637">
        <v>10</v>
      </c>
      <c r="L9" s="638"/>
      <c r="M9" s="7">
        <v>11</v>
      </c>
      <c r="N9" s="7">
        <v>12</v>
      </c>
    </row>
    <row r="10" spans="1:16" ht="171" customHeight="1">
      <c r="A10" s="113">
        <v>1</v>
      </c>
      <c r="B10" s="114" t="s">
        <v>40</v>
      </c>
      <c r="C10" s="115" t="s">
        <v>11</v>
      </c>
      <c r="D10" s="113" t="s">
        <v>27</v>
      </c>
      <c r="E10" s="113" t="s">
        <v>47</v>
      </c>
      <c r="F10" s="113" t="s">
        <v>29</v>
      </c>
      <c r="G10" s="113" t="s">
        <v>12</v>
      </c>
      <c r="H10" s="116" t="s">
        <v>13</v>
      </c>
      <c r="I10" s="116">
        <v>1</v>
      </c>
      <c r="J10" s="117">
        <v>174995642</v>
      </c>
      <c r="K10" s="116">
        <v>0</v>
      </c>
      <c r="L10" s="117">
        <v>0</v>
      </c>
      <c r="M10" s="113" t="s">
        <v>0</v>
      </c>
      <c r="N10" s="116" t="s">
        <v>792</v>
      </c>
      <c r="O10" s="1"/>
      <c r="P10" s="1"/>
    </row>
    <row r="11" spans="1:16" ht="186.95" customHeight="1">
      <c r="A11" s="113"/>
      <c r="B11" s="118"/>
      <c r="C11" s="113"/>
      <c r="D11" s="113"/>
      <c r="E11" s="113"/>
      <c r="F11" s="113"/>
      <c r="G11" s="113" t="s">
        <v>14</v>
      </c>
      <c r="H11" s="116" t="s">
        <v>31</v>
      </c>
      <c r="I11" s="116">
        <v>250</v>
      </c>
      <c r="J11" s="117">
        <v>25206100</v>
      </c>
      <c r="K11" s="116">
        <v>250</v>
      </c>
      <c r="L11" s="117">
        <v>0</v>
      </c>
      <c r="M11" s="113" t="s">
        <v>0</v>
      </c>
      <c r="N11" s="113" t="s">
        <v>721</v>
      </c>
      <c r="O11" s="1"/>
      <c r="P11" s="1"/>
    </row>
    <row r="12" spans="1:16" ht="158.44999999999999" customHeight="1">
      <c r="A12" s="113"/>
      <c r="B12" s="118"/>
      <c r="C12" s="113"/>
      <c r="D12" s="113" t="s">
        <v>28</v>
      </c>
      <c r="E12" s="113" t="s">
        <v>15</v>
      </c>
      <c r="F12" s="113" t="s">
        <v>30</v>
      </c>
      <c r="G12" s="113" t="s">
        <v>16</v>
      </c>
      <c r="H12" s="116" t="s">
        <v>17</v>
      </c>
      <c r="I12" s="116">
        <v>1</v>
      </c>
      <c r="J12" s="117">
        <v>174790750</v>
      </c>
      <c r="K12" s="116">
        <v>0</v>
      </c>
      <c r="L12" s="117">
        <v>0</v>
      </c>
      <c r="M12" s="113" t="s">
        <v>0</v>
      </c>
      <c r="N12" s="113" t="s">
        <v>336</v>
      </c>
      <c r="O12" s="1"/>
      <c r="P12" s="1"/>
    </row>
    <row r="13" spans="1:16" ht="83.45" customHeight="1">
      <c r="A13" s="113"/>
      <c r="B13" s="118"/>
      <c r="C13" s="113"/>
      <c r="D13" s="113"/>
      <c r="E13" s="113"/>
      <c r="F13" s="113"/>
      <c r="G13" s="113" t="s">
        <v>18</v>
      </c>
      <c r="H13" s="113" t="s">
        <v>32</v>
      </c>
      <c r="I13" s="116">
        <v>50</v>
      </c>
      <c r="J13" s="117">
        <v>32425900</v>
      </c>
      <c r="K13" s="116">
        <v>0</v>
      </c>
      <c r="L13" s="117">
        <v>0</v>
      </c>
      <c r="M13" s="113" t="s">
        <v>0</v>
      </c>
      <c r="N13" s="113" t="s">
        <v>337</v>
      </c>
      <c r="O13" s="1"/>
      <c r="P13" s="1"/>
    </row>
    <row r="14" spans="1:16" ht="142.5" customHeight="1">
      <c r="A14" s="113"/>
      <c r="B14" s="118"/>
      <c r="C14" s="113"/>
      <c r="D14" s="113"/>
      <c r="E14" s="113"/>
      <c r="F14" s="113"/>
      <c r="G14" s="113" t="s">
        <v>19</v>
      </c>
      <c r="H14" s="113" t="s">
        <v>33</v>
      </c>
      <c r="I14" s="116">
        <v>21</v>
      </c>
      <c r="J14" s="117">
        <v>94830000</v>
      </c>
      <c r="K14" s="116">
        <v>0</v>
      </c>
      <c r="L14" s="117">
        <v>0</v>
      </c>
      <c r="M14" s="113" t="s">
        <v>0</v>
      </c>
      <c r="N14" s="116" t="s">
        <v>794</v>
      </c>
      <c r="O14" s="1"/>
      <c r="P14" s="1"/>
    </row>
    <row r="15" spans="1:16" ht="123.6" customHeight="1">
      <c r="A15" s="113"/>
      <c r="B15" s="118"/>
      <c r="C15" s="113"/>
      <c r="D15" s="113"/>
      <c r="E15" s="113"/>
      <c r="F15" s="113"/>
      <c r="G15" s="113" t="s">
        <v>20</v>
      </c>
      <c r="H15" s="113" t="s">
        <v>34</v>
      </c>
      <c r="I15" s="116">
        <v>250</v>
      </c>
      <c r="J15" s="117">
        <v>19136500</v>
      </c>
      <c r="K15" s="116">
        <v>0</v>
      </c>
      <c r="L15" s="117">
        <v>0</v>
      </c>
      <c r="M15" s="113" t="s">
        <v>0</v>
      </c>
      <c r="N15" s="113" t="s">
        <v>338</v>
      </c>
      <c r="O15" s="1"/>
      <c r="P15" s="1"/>
    </row>
    <row r="16" spans="1:16" ht="139.5" customHeight="1">
      <c r="A16" s="113"/>
      <c r="B16" s="118"/>
      <c r="C16" s="113"/>
      <c r="D16" s="113"/>
      <c r="E16" s="113"/>
      <c r="F16" s="113"/>
      <c r="G16" s="113" t="s">
        <v>21</v>
      </c>
      <c r="H16" s="113" t="s">
        <v>35</v>
      </c>
      <c r="I16" s="116">
        <v>1</v>
      </c>
      <c r="J16" s="117">
        <v>99506640</v>
      </c>
      <c r="K16" s="116">
        <v>0</v>
      </c>
      <c r="L16" s="117">
        <v>0</v>
      </c>
      <c r="M16" s="113" t="s">
        <v>0</v>
      </c>
      <c r="N16" s="113" t="s">
        <v>339</v>
      </c>
      <c r="O16" s="1"/>
      <c r="P16" s="1"/>
    </row>
    <row r="17" spans="1:16" ht="143.44999999999999" customHeight="1">
      <c r="A17" s="113"/>
      <c r="B17" s="118"/>
      <c r="C17" s="113"/>
      <c r="D17" s="113"/>
      <c r="E17" s="113"/>
      <c r="F17" s="113"/>
      <c r="G17" s="113" t="s">
        <v>22</v>
      </c>
      <c r="H17" s="113" t="s">
        <v>36</v>
      </c>
      <c r="I17" s="116">
        <v>50</v>
      </c>
      <c r="J17" s="117">
        <v>29890000</v>
      </c>
      <c r="K17" s="116">
        <v>0</v>
      </c>
      <c r="L17" s="117">
        <v>0</v>
      </c>
      <c r="M17" s="113" t="s">
        <v>0</v>
      </c>
      <c r="N17" s="116" t="s">
        <v>793</v>
      </c>
      <c r="O17" s="1"/>
      <c r="P17" s="1"/>
    </row>
    <row r="18" spans="1:16" ht="90.6" customHeight="1">
      <c r="A18" s="113"/>
      <c r="B18" s="118"/>
      <c r="C18" s="113"/>
      <c r="D18" s="113"/>
      <c r="E18" s="113"/>
      <c r="F18" s="113"/>
      <c r="G18" s="113" t="s">
        <v>23</v>
      </c>
      <c r="H18" s="113" t="s">
        <v>37</v>
      </c>
      <c r="I18" s="116">
        <v>2</v>
      </c>
      <c r="J18" s="117">
        <v>34912800</v>
      </c>
      <c r="K18" s="116">
        <v>0</v>
      </c>
      <c r="L18" s="117">
        <v>0</v>
      </c>
      <c r="M18" s="113" t="s">
        <v>0</v>
      </c>
      <c r="N18" s="113" t="s">
        <v>340</v>
      </c>
      <c r="O18" s="1"/>
      <c r="P18" s="1"/>
    </row>
    <row r="19" spans="1:16" s="3" customFormat="1" ht="44.45" customHeight="1">
      <c r="A19" s="634" t="s">
        <v>39</v>
      </c>
      <c r="B19" s="635"/>
      <c r="C19" s="635"/>
      <c r="D19" s="635"/>
      <c r="E19" s="635"/>
      <c r="F19" s="635"/>
      <c r="G19" s="635"/>
      <c r="H19" s="636"/>
      <c r="I19" s="119"/>
      <c r="J19" s="119">
        <f>SUM(J10:J18)</f>
        <v>685694332</v>
      </c>
      <c r="K19" s="119"/>
      <c r="L19" s="119"/>
      <c r="M19" s="120"/>
      <c r="N19" s="120"/>
    </row>
    <row r="20" spans="1:16" s="4" customFormat="1" ht="13.5" customHeight="1">
      <c r="A20" s="121"/>
      <c r="B20" s="121"/>
      <c r="C20" s="121"/>
      <c r="D20" s="121"/>
      <c r="E20" s="121"/>
      <c r="F20" s="121"/>
      <c r="G20" s="121"/>
      <c r="H20" s="121"/>
      <c r="I20" s="122"/>
      <c r="J20" s="122"/>
      <c r="K20" s="122"/>
      <c r="L20" s="122"/>
      <c r="M20" s="121"/>
      <c r="N20" s="121"/>
      <c r="O20" s="2"/>
      <c r="P20" s="2"/>
    </row>
    <row r="21" spans="1:16" s="4" customFormat="1" ht="21.6" customHeight="1">
      <c r="A21" s="121"/>
      <c r="B21" s="437" t="s">
        <v>717</v>
      </c>
      <c r="C21" s="121"/>
      <c r="D21" s="121"/>
      <c r="E21" s="121"/>
      <c r="F21" s="121"/>
      <c r="G21" s="121"/>
      <c r="H21" s="121"/>
      <c r="I21" s="122"/>
      <c r="J21" s="122" t="s">
        <v>720</v>
      </c>
      <c r="K21" s="122"/>
      <c r="L21" s="122"/>
      <c r="M21" s="121"/>
      <c r="N21" s="121"/>
      <c r="O21" s="2"/>
      <c r="P21" s="2"/>
    </row>
    <row r="22" spans="1:16" s="4" customFormat="1" ht="21.6" customHeight="1">
      <c r="A22" s="121"/>
      <c r="B22" s="121"/>
      <c r="C22" s="121"/>
      <c r="D22" s="121"/>
      <c r="E22" s="121"/>
      <c r="F22" s="121"/>
      <c r="G22" s="121"/>
      <c r="H22" s="121"/>
      <c r="I22" s="123" t="s">
        <v>45</v>
      </c>
      <c r="J22" s="122" t="s">
        <v>24</v>
      </c>
      <c r="K22" s="122"/>
      <c r="L22" s="122"/>
      <c r="M22" s="121"/>
      <c r="N22" s="121"/>
      <c r="O22" s="2"/>
      <c r="P22" s="2"/>
    </row>
    <row r="23" spans="1:16" s="4" customFormat="1" ht="21.6" customHeight="1">
      <c r="A23" s="121"/>
      <c r="B23" s="121"/>
      <c r="C23" s="121"/>
      <c r="D23" s="121"/>
      <c r="E23" s="121"/>
      <c r="F23" s="121"/>
      <c r="G23" s="121"/>
      <c r="H23" s="121"/>
      <c r="I23" s="122"/>
      <c r="J23" s="122"/>
      <c r="K23" s="122"/>
      <c r="L23" s="122"/>
      <c r="M23" s="121"/>
      <c r="N23" s="121"/>
      <c r="O23" s="2"/>
      <c r="P23" s="2"/>
    </row>
    <row r="24" spans="1:16" s="4" customFormat="1" ht="21.6" customHeight="1">
      <c r="A24" s="121"/>
      <c r="B24" s="121"/>
      <c r="C24" s="121"/>
      <c r="D24" s="121"/>
      <c r="E24" s="121"/>
      <c r="F24" s="121"/>
      <c r="G24" s="121"/>
      <c r="H24" s="121"/>
      <c r="I24" s="122"/>
      <c r="J24" s="122"/>
      <c r="K24" s="122"/>
      <c r="L24" s="122"/>
      <c r="M24" s="121"/>
      <c r="N24" s="121"/>
      <c r="O24" s="2"/>
      <c r="P24" s="2"/>
    </row>
    <row r="25" spans="1:16" s="4" customFormat="1" ht="21.6" customHeight="1">
      <c r="A25" s="121"/>
      <c r="B25" s="121"/>
      <c r="C25" s="121"/>
      <c r="D25" s="121"/>
      <c r="E25" s="121"/>
      <c r="F25" s="121"/>
      <c r="G25" s="121"/>
      <c r="H25" s="121"/>
      <c r="I25" s="122"/>
      <c r="J25" s="639" t="s">
        <v>25</v>
      </c>
      <c r="K25" s="639"/>
      <c r="L25" s="124"/>
      <c r="M25" s="121"/>
      <c r="N25" s="121"/>
      <c r="O25" s="2"/>
      <c r="P25" s="2"/>
    </row>
    <row r="26" spans="1:16" s="4" customFormat="1" ht="21.6" customHeight="1">
      <c r="A26" s="121"/>
      <c r="B26" s="121"/>
      <c r="C26" s="121"/>
      <c r="D26" s="121"/>
      <c r="E26" s="121"/>
      <c r="F26" s="121"/>
      <c r="G26" s="121"/>
      <c r="H26" s="121"/>
      <c r="I26" s="122"/>
      <c r="J26" s="122" t="s">
        <v>26</v>
      </c>
      <c r="K26" s="122"/>
      <c r="L26" s="122"/>
      <c r="M26" s="121"/>
      <c r="N26" s="121"/>
      <c r="O26" s="2"/>
      <c r="P26" s="2"/>
    </row>
    <row r="27" spans="1:16" ht="21.6" customHeight="1">
      <c r="J27" s="4" t="s">
        <v>46</v>
      </c>
    </row>
  </sheetData>
  <mergeCells count="22">
    <mergeCell ref="J25:K25"/>
    <mergeCell ref="A1:N1"/>
    <mergeCell ref="A2:N2"/>
    <mergeCell ref="I9:J9"/>
    <mergeCell ref="I7:J7"/>
    <mergeCell ref="N5:N8"/>
    <mergeCell ref="C6:C8"/>
    <mergeCell ref="D6:D8"/>
    <mergeCell ref="E6:E8"/>
    <mergeCell ref="F6:F8"/>
    <mergeCell ref="G6:G8"/>
    <mergeCell ref="A5:A8"/>
    <mergeCell ref="B5:B8"/>
    <mergeCell ref="C5:L5"/>
    <mergeCell ref="K6:L6"/>
    <mergeCell ref="K7:L7"/>
    <mergeCell ref="A3:N3"/>
    <mergeCell ref="M5:M8"/>
    <mergeCell ref="H6:H8"/>
    <mergeCell ref="I6:J6"/>
    <mergeCell ref="A19:H19"/>
    <mergeCell ref="K9:L9"/>
  </mergeCells>
  <printOptions horizontalCentered="1"/>
  <pageMargins left="0.28000000000000003" right="0.25" top="0.75" bottom="0.75" header="0.3" footer="0.3"/>
  <pageSetup paperSize="5" scale="60" orientation="landscape" horizontalDpi="4294967293" verticalDpi="360"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81"/>
  <sheetViews>
    <sheetView topLeftCell="G1" workbookViewId="0">
      <selection activeCell="U15" sqref="U15"/>
    </sheetView>
  </sheetViews>
  <sheetFormatPr defaultColWidth="9.140625" defaultRowHeight="15"/>
  <cols>
    <col min="1" max="1" width="3.42578125" customWidth="1"/>
    <col min="2" max="2" width="4.42578125" customWidth="1"/>
    <col min="3" max="3" width="28.28515625" customWidth="1"/>
    <col min="4" max="4" width="14.28515625" customWidth="1"/>
    <col min="5" max="5" width="9.5703125" customWidth="1"/>
    <col min="6" max="6" width="12.5703125" customWidth="1"/>
    <col min="7" max="7" width="14.140625" customWidth="1"/>
    <col min="8" max="8" width="17.28515625" customWidth="1"/>
    <col min="9" max="9" width="12.140625" customWidth="1"/>
    <col min="10" max="10" width="10.5703125" style="64" customWidth="1"/>
    <col min="11" max="11" width="15.7109375" customWidth="1"/>
    <col min="12" max="12" width="9.85546875" customWidth="1"/>
    <col min="13" max="13" width="10" customWidth="1"/>
    <col min="14" max="14" width="7" customWidth="1"/>
    <col min="15" max="15" width="7.42578125" customWidth="1"/>
    <col min="16" max="16" width="11.85546875" customWidth="1"/>
    <col min="17" max="17" width="7.28515625" customWidth="1"/>
    <col min="18" max="18" width="8" customWidth="1"/>
    <col min="19" max="19" width="12.140625" customWidth="1"/>
    <col min="20" max="20" width="13.85546875" customWidth="1"/>
  </cols>
  <sheetData>
    <row r="1" spans="1:21" ht="17.25" customHeight="1">
      <c r="A1" s="674" t="s">
        <v>232</v>
      </c>
      <c r="B1" s="674"/>
      <c r="C1" s="674"/>
      <c r="D1" s="674"/>
      <c r="E1" s="674"/>
      <c r="F1" s="674"/>
      <c r="G1" s="674"/>
      <c r="H1" s="674"/>
      <c r="I1" s="674"/>
      <c r="J1" s="674"/>
      <c r="K1" s="674"/>
      <c r="L1" s="674"/>
      <c r="M1" s="674"/>
      <c r="N1" s="674"/>
      <c r="O1" s="674"/>
      <c r="P1" s="674"/>
      <c r="Q1" s="674"/>
      <c r="R1" s="674"/>
      <c r="S1" s="674"/>
      <c r="T1" s="674"/>
      <c r="U1" s="50"/>
    </row>
    <row r="2" spans="1:21" ht="17.25" customHeight="1">
      <c r="A2" s="674" t="s">
        <v>44</v>
      </c>
      <c r="B2" s="674"/>
      <c r="C2" s="674"/>
      <c r="D2" s="674"/>
      <c r="E2" s="674"/>
      <c r="F2" s="674"/>
      <c r="G2" s="674"/>
      <c r="H2" s="674"/>
      <c r="I2" s="674"/>
      <c r="J2" s="674"/>
      <c r="K2" s="674"/>
      <c r="L2" s="674"/>
      <c r="M2" s="674"/>
      <c r="N2" s="674"/>
      <c r="O2" s="674"/>
      <c r="P2" s="674"/>
      <c r="Q2" s="674"/>
      <c r="R2" s="674"/>
      <c r="S2" s="674"/>
      <c r="T2" s="674"/>
      <c r="U2" s="50"/>
    </row>
    <row r="3" spans="1:21" ht="17.25" customHeight="1">
      <c r="A3" s="674" t="s">
        <v>718</v>
      </c>
      <c r="B3" s="674"/>
      <c r="C3" s="674"/>
      <c r="D3" s="674"/>
      <c r="E3" s="674"/>
      <c r="F3" s="674"/>
      <c r="G3" s="674"/>
      <c r="H3" s="674"/>
      <c r="I3" s="674"/>
      <c r="J3" s="674"/>
      <c r="K3" s="674"/>
      <c r="L3" s="674"/>
      <c r="M3" s="674"/>
      <c r="N3" s="674"/>
      <c r="O3" s="674"/>
      <c r="P3" s="674"/>
      <c r="Q3" s="674"/>
      <c r="R3" s="674"/>
      <c r="S3" s="674"/>
      <c r="T3" s="674"/>
      <c r="U3" s="50"/>
    </row>
    <row r="4" spans="1:21" ht="14.25" customHeight="1" thickBot="1">
      <c r="A4" s="675"/>
      <c r="B4" s="675"/>
      <c r="C4" s="675"/>
      <c r="D4" s="51"/>
      <c r="E4" s="51"/>
      <c r="F4" s="51"/>
      <c r="G4" s="51"/>
      <c r="H4" s="51"/>
      <c r="I4" s="51"/>
      <c r="J4" s="52"/>
      <c r="K4" s="51"/>
      <c r="L4" s="51"/>
      <c r="M4" s="51"/>
      <c r="N4" s="51"/>
      <c r="O4" s="51"/>
      <c r="P4" s="51"/>
      <c r="Q4" s="51"/>
      <c r="R4" s="51"/>
      <c r="S4" s="51"/>
      <c r="T4" s="51"/>
    </row>
    <row r="5" spans="1:21" s="53" customFormat="1" ht="17.25" customHeight="1">
      <c r="A5" s="676" t="s">
        <v>210</v>
      </c>
      <c r="B5" s="672" t="s">
        <v>233</v>
      </c>
      <c r="C5" s="672"/>
      <c r="D5" s="672" t="s">
        <v>284</v>
      </c>
      <c r="E5" s="672" t="s">
        <v>212</v>
      </c>
      <c r="F5" s="672" t="s">
        <v>213</v>
      </c>
      <c r="G5" s="672" t="s">
        <v>214</v>
      </c>
      <c r="H5" s="672" t="s">
        <v>215</v>
      </c>
      <c r="I5" s="672" t="s">
        <v>234</v>
      </c>
      <c r="J5" s="672" t="s">
        <v>235</v>
      </c>
      <c r="K5" s="672" t="s">
        <v>236</v>
      </c>
      <c r="L5" s="671" t="s">
        <v>217</v>
      </c>
      <c r="M5" s="671"/>
      <c r="N5" s="659" t="s">
        <v>218</v>
      </c>
      <c r="O5" s="671" t="s">
        <v>219</v>
      </c>
      <c r="P5" s="671"/>
      <c r="Q5" s="671"/>
      <c r="R5" s="659" t="s">
        <v>237</v>
      </c>
      <c r="S5" s="659" t="s">
        <v>238</v>
      </c>
      <c r="T5" s="678" t="s">
        <v>38</v>
      </c>
    </row>
    <row r="6" spans="1:21" s="53" customFormat="1" ht="35.25" customHeight="1">
      <c r="A6" s="677"/>
      <c r="B6" s="673"/>
      <c r="C6" s="673"/>
      <c r="D6" s="673"/>
      <c r="E6" s="673"/>
      <c r="F6" s="673"/>
      <c r="G6" s="673"/>
      <c r="H6" s="673"/>
      <c r="I6" s="673"/>
      <c r="J6" s="673"/>
      <c r="K6" s="673"/>
      <c r="L6" s="673" t="s">
        <v>221</v>
      </c>
      <c r="M6" s="673" t="s">
        <v>222</v>
      </c>
      <c r="N6" s="660"/>
      <c r="O6" s="673" t="s">
        <v>223</v>
      </c>
      <c r="P6" s="680" t="s">
        <v>224</v>
      </c>
      <c r="Q6" s="680"/>
      <c r="R6" s="660"/>
      <c r="S6" s="660"/>
      <c r="T6" s="679"/>
    </row>
    <row r="7" spans="1:21" s="53" customFormat="1" ht="15.75">
      <c r="A7" s="677"/>
      <c r="B7" s="673"/>
      <c r="C7" s="673"/>
      <c r="D7" s="673"/>
      <c r="E7" s="673"/>
      <c r="F7" s="673"/>
      <c r="G7" s="673"/>
      <c r="H7" s="673"/>
      <c r="I7" s="673"/>
      <c r="J7" s="673"/>
      <c r="K7" s="673"/>
      <c r="L7" s="673"/>
      <c r="M7" s="673"/>
      <c r="N7" s="660"/>
      <c r="O7" s="673"/>
      <c r="P7" s="54" t="s">
        <v>225</v>
      </c>
      <c r="Q7" s="54" t="s">
        <v>63</v>
      </c>
      <c r="R7" s="660"/>
      <c r="S7" s="660"/>
      <c r="T7" s="679"/>
    </row>
    <row r="8" spans="1:21" s="53" customFormat="1" ht="15" customHeight="1">
      <c r="A8" s="108">
        <v>1</v>
      </c>
      <c r="B8" s="648">
        <v>2</v>
      </c>
      <c r="C8" s="648"/>
      <c r="D8" s="109">
        <v>3</v>
      </c>
      <c r="E8" s="109">
        <v>4</v>
      </c>
      <c r="F8" s="109">
        <v>5</v>
      </c>
      <c r="G8" s="109">
        <v>6</v>
      </c>
      <c r="H8" s="109">
        <v>7</v>
      </c>
      <c r="I8" s="109">
        <v>8</v>
      </c>
      <c r="J8" s="110">
        <v>9</v>
      </c>
      <c r="K8" s="109">
        <v>10</v>
      </c>
      <c r="L8" s="109">
        <v>11</v>
      </c>
      <c r="M8" s="109">
        <v>12</v>
      </c>
      <c r="N8" s="109">
        <v>13</v>
      </c>
      <c r="O8" s="109">
        <v>14</v>
      </c>
      <c r="P8" s="109">
        <v>15</v>
      </c>
      <c r="Q8" s="109">
        <v>16</v>
      </c>
      <c r="R8" s="109">
        <v>17</v>
      </c>
      <c r="S8" s="111">
        <v>18</v>
      </c>
      <c r="T8" s="111">
        <v>19</v>
      </c>
    </row>
    <row r="9" spans="1:21" s="53" customFormat="1" ht="20.25" customHeight="1">
      <c r="A9" s="649" t="s">
        <v>226</v>
      </c>
      <c r="B9" s="650"/>
      <c r="C9" s="650"/>
      <c r="D9" s="650"/>
      <c r="E9" s="650"/>
      <c r="F9" s="650"/>
      <c r="G9" s="650"/>
      <c r="H9" s="650"/>
      <c r="I9" s="650"/>
      <c r="J9" s="650"/>
      <c r="K9" s="650"/>
      <c r="L9" s="650"/>
      <c r="M9" s="650"/>
      <c r="N9" s="650"/>
      <c r="O9" s="650"/>
      <c r="P9" s="650"/>
      <c r="Q9" s="650"/>
      <c r="R9" s="650"/>
      <c r="S9" s="650"/>
      <c r="T9" s="651"/>
    </row>
    <row r="10" spans="1:21" s="53" customFormat="1" ht="20.25" customHeight="1">
      <c r="A10" s="112">
        <v>1</v>
      </c>
      <c r="B10" s="55" t="s">
        <v>257</v>
      </c>
      <c r="C10" s="55"/>
      <c r="D10" s="55"/>
      <c r="E10" s="55"/>
      <c r="F10" s="55"/>
      <c r="G10" s="55"/>
      <c r="H10" s="55"/>
      <c r="I10" s="55"/>
      <c r="J10" s="55"/>
      <c r="K10" s="55"/>
      <c r="L10" s="55"/>
      <c r="M10" s="55"/>
      <c r="N10" s="55"/>
      <c r="O10" s="55"/>
      <c r="P10" s="55"/>
      <c r="Q10" s="55"/>
      <c r="R10" s="55"/>
      <c r="S10" s="55"/>
      <c r="T10" s="56"/>
    </row>
    <row r="11" spans="1:21" s="53" customFormat="1" ht="69.95" customHeight="1">
      <c r="A11" s="34"/>
      <c r="B11" s="57" t="s">
        <v>239</v>
      </c>
      <c r="C11" s="35" t="s">
        <v>287</v>
      </c>
      <c r="D11" s="36">
        <v>79000000</v>
      </c>
      <c r="E11" s="662" t="s">
        <v>227</v>
      </c>
      <c r="F11" s="665" t="s">
        <v>25</v>
      </c>
      <c r="G11" s="36"/>
      <c r="H11" s="36"/>
      <c r="I11" s="38"/>
      <c r="J11" s="38"/>
      <c r="K11" s="38"/>
      <c r="L11" s="39"/>
      <c r="M11" s="40"/>
      <c r="N11" s="41"/>
      <c r="O11" s="41"/>
      <c r="P11" s="42"/>
      <c r="Q11" s="43"/>
      <c r="R11" s="43"/>
      <c r="S11" s="668" t="s">
        <v>240</v>
      </c>
      <c r="T11" s="656" t="s">
        <v>302</v>
      </c>
    </row>
    <row r="12" spans="1:21" s="53" customFormat="1" ht="69.95" customHeight="1">
      <c r="A12" s="105"/>
      <c r="B12" s="57" t="s">
        <v>239</v>
      </c>
      <c r="C12" s="58" t="s">
        <v>288</v>
      </c>
      <c r="D12" s="36">
        <v>2370000</v>
      </c>
      <c r="E12" s="663"/>
      <c r="F12" s="666"/>
      <c r="G12" s="36"/>
      <c r="H12" s="36"/>
      <c r="I12" s="38"/>
      <c r="J12" s="38"/>
      <c r="K12" s="38"/>
      <c r="L12" s="39"/>
      <c r="M12" s="40"/>
      <c r="N12" s="41"/>
      <c r="O12" s="41"/>
      <c r="P12" s="42"/>
      <c r="Q12" s="43"/>
      <c r="R12" s="43"/>
      <c r="S12" s="669"/>
      <c r="T12" s="657"/>
    </row>
    <row r="13" spans="1:21" s="53" customFormat="1" ht="69.95" customHeight="1">
      <c r="A13" s="105"/>
      <c r="B13" s="57" t="s">
        <v>239</v>
      </c>
      <c r="C13" s="58" t="s">
        <v>289</v>
      </c>
      <c r="D13" s="36">
        <v>2370000</v>
      </c>
      <c r="E13" s="664"/>
      <c r="F13" s="667"/>
      <c r="G13" s="36"/>
      <c r="H13" s="36"/>
      <c r="I13" s="38"/>
      <c r="J13" s="38"/>
      <c r="K13" s="38"/>
      <c r="L13" s="39"/>
      <c r="M13" s="40"/>
      <c r="N13" s="41"/>
      <c r="O13" s="41"/>
      <c r="P13" s="42"/>
      <c r="Q13" s="43"/>
      <c r="R13" s="43"/>
      <c r="S13" s="670"/>
      <c r="T13" s="658"/>
    </row>
    <row r="14" spans="1:21" s="53" customFormat="1" ht="27.75" customHeight="1">
      <c r="A14" s="652" t="s">
        <v>230</v>
      </c>
      <c r="B14" s="653"/>
      <c r="C14" s="654"/>
      <c r="D14" s="59">
        <f>SUM(D11:D13)</f>
        <v>83740000</v>
      </c>
      <c r="E14" s="34"/>
      <c r="F14" s="37"/>
      <c r="G14" s="59"/>
      <c r="H14" s="37"/>
      <c r="I14" s="38"/>
      <c r="J14" s="38"/>
      <c r="K14" s="38"/>
      <c r="L14" s="37"/>
      <c r="M14" s="37"/>
      <c r="N14" s="43"/>
      <c r="O14" s="60"/>
      <c r="P14" s="59"/>
      <c r="Q14" s="43"/>
      <c r="R14" s="43"/>
      <c r="S14" s="61"/>
      <c r="T14" s="44"/>
    </row>
    <row r="15" spans="1:21" s="53" customFormat="1" ht="15.75">
      <c r="A15" s="33"/>
      <c r="B15" s="33"/>
      <c r="C15" s="33"/>
      <c r="D15" s="33"/>
      <c r="E15" s="33"/>
      <c r="F15" s="33"/>
      <c r="G15" s="33"/>
      <c r="H15" s="33"/>
      <c r="I15" s="33"/>
      <c r="J15" s="62"/>
      <c r="K15" s="33"/>
      <c r="L15" s="33"/>
      <c r="M15" s="33"/>
      <c r="N15" s="33"/>
      <c r="O15" s="33"/>
      <c r="P15" s="33"/>
      <c r="Q15" s="33"/>
      <c r="R15" s="33"/>
      <c r="S15" s="33"/>
      <c r="T15" s="33"/>
    </row>
    <row r="16" spans="1:21" s="53" customFormat="1" ht="16.5">
      <c r="A16" s="33"/>
      <c r="B16" s="33"/>
      <c r="C16" s="45"/>
      <c r="D16" s="46"/>
      <c r="E16" s="46"/>
      <c r="F16" s="655"/>
      <c r="G16" s="655"/>
      <c r="H16" s="47"/>
      <c r="I16" s="47"/>
      <c r="J16" s="63"/>
      <c r="K16" s="47"/>
      <c r="L16" s="33"/>
      <c r="M16" s="33"/>
      <c r="N16" s="66"/>
      <c r="O16" s="33" t="s">
        <v>720</v>
      </c>
      <c r="P16" s="66"/>
      <c r="Q16" s="33"/>
      <c r="R16" s="33"/>
      <c r="S16" s="33"/>
      <c r="T16" s="33"/>
    </row>
    <row r="17" spans="1:20" s="53" customFormat="1" ht="16.5">
      <c r="A17" s="33"/>
      <c r="B17" s="33"/>
      <c r="C17" s="45"/>
      <c r="D17" s="46"/>
      <c r="E17" s="46"/>
      <c r="F17" s="655"/>
      <c r="G17" s="655"/>
      <c r="H17" s="47"/>
      <c r="I17" s="47"/>
      <c r="J17" s="63"/>
      <c r="K17" s="47"/>
      <c r="L17" s="33"/>
      <c r="M17" s="33"/>
      <c r="N17" s="67" t="s">
        <v>45</v>
      </c>
      <c r="O17" s="33" t="s">
        <v>24</v>
      </c>
      <c r="P17" s="66"/>
      <c r="Q17" s="33"/>
      <c r="R17" s="33"/>
      <c r="S17" s="33"/>
      <c r="T17" s="33"/>
    </row>
    <row r="18" spans="1:20" s="53" customFormat="1" ht="16.5">
      <c r="A18" s="33"/>
      <c r="B18" s="33"/>
      <c r="C18" s="45"/>
      <c r="D18" s="48"/>
      <c r="E18" s="46"/>
      <c r="F18" s="661"/>
      <c r="G18" s="661"/>
      <c r="H18" s="47"/>
      <c r="I18" s="47"/>
      <c r="J18" s="63"/>
      <c r="K18" s="47"/>
      <c r="L18" s="33"/>
      <c r="M18" s="33"/>
      <c r="N18" s="66"/>
      <c r="O18" s="66"/>
      <c r="P18" s="66"/>
      <c r="Q18" s="33"/>
      <c r="R18" s="33"/>
      <c r="S18" s="33"/>
      <c r="T18" s="33"/>
    </row>
    <row r="19" spans="1:20" s="53" customFormat="1" ht="16.5">
      <c r="A19" s="33"/>
      <c r="B19" s="33"/>
      <c r="C19" s="47"/>
      <c r="D19" s="47"/>
      <c r="E19" s="47"/>
      <c r="F19" s="47"/>
      <c r="G19" s="47"/>
      <c r="H19" s="47"/>
      <c r="I19" s="47"/>
      <c r="J19" s="63"/>
      <c r="K19" s="47"/>
      <c r="L19" s="33"/>
      <c r="M19" s="33"/>
      <c r="N19" s="66"/>
      <c r="O19" s="66"/>
      <c r="P19" s="66"/>
      <c r="Q19" s="33"/>
      <c r="R19" s="33"/>
      <c r="S19" s="33"/>
      <c r="T19" s="33"/>
    </row>
    <row r="20" spans="1:20" s="53" customFormat="1" ht="16.5">
      <c r="A20" s="33"/>
      <c r="B20" s="33"/>
      <c r="C20" s="47"/>
      <c r="D20" s="47"/>
      <c r="E20" s="47"/>
      <c r="F20" s="47"/>
      <c r="G20" s="49"/>
      <c r="H20" s="47"/>
      <c r="I20" s="47"/>
      <c r="J20" s="63"/>
      <c r="K20" s="47"/>
      <c r="L20" s="33"/>
      <c r="M20" s="33"/>
      <c r="N20" s="66"/>
      <c r="O20" s="66"/>
      <c r="P20" s="66"/>
      <c r="Q20" s="33"/>
      <c r="R20" s="33"/>
      <c r="S20" s="33"/>
      <c r="T20" s="33"/>
    </row>
    <row r="21" spans="1:20" s="53" customFormat="1" ht="16.5">
      <c r="A21" s="33"/>
      <c r="B21" s="33"/>
      <c r="C21" s="47"/>
      <c r="D21" s="47"/>
      <c r="E21" s="47"/>
      <c r="F21" s="47"/>
      <c r="G21" s="47"/>
      <c r="H21" s="47"/>
      <c r="I21" s="47"/>
      <c r="J21" s="63"/>
      <c r="K21" s="47"/>
      <c r="L21" s="33"/>
      <c r="M21" s="33"/>
      <c r="N21" s="66"/>
      <c r="O21" s="68" t="s">
        <v>283</v>
      </c>
      <c r="P21" s="66"/>
      <c r="Q21" s="33"/>
      <c r="R21" s="33"/>
      <c r="S21" s="33"/>
      <c r="T21" s="33"/>
    </row>
    <row r="22" spans="1:20" s="53" customFormat="1" ht="16.5">
      <c r="A22" s="33"/>
      <c r="B22" s="33"/>
      <c r="C22" s="47"/>
      <c r="D22" s="47"/>
      <c r="E22" s="47"/>
      <c r="F22" s="47"/>
      <c r="G22" s="47"/>
      <c r="H22" s="47"/>
      <c r="I22" s="47"/>
      <c r="J22" s="63"/>
      <c r="K22" s="47"/>
      <c r="L22" s="33"/>
      <c r="M22" s="33"/>
      <c r="N22" s="66"/>
      <c r="O22" s="66" t="s">
        <v>26</v>
      </c>
      <c r="P22" s="66"/>
      <c r="Q22" s="33"/>
      <c r="R22" s="33"/>
      <c r="S22" s="33"/>
      <c r="T22" s="33"/>
    </row>
    <row r="23" spans="1:20" s="53" customFormat="1" ht="16.5">
      <c r="A23" s="33"/>
      <c r="B23" s="33"/>
      <c r="C23" s="33"/>
      <c r="D23" s="33"/>
      <c r="E23" s="33"/>
      <c r="F23" s="33"/>
      <c r="G23" s="33"/>
      <c r="H23" s="33"/>
      <c r="I23" s="33"/>
      <c r="J23" s="62"/>
      <c r="K23" s="33"/>
      <c r="L23" s="33"/>
      <c r="M23" s="33"/>
      <c r="N23" s="66"/>
      <c r="O23" s="66" t="s">
        <v>46</v>
      </c>
      <c r="P23" s="66"/>
      <c r="Q23" s="33"/>
      <c r="R23" s="33"/>
      <c r="S23" s="33"/>
      <c r="T23" s="33"/>
    </row>
    <row r="24" spans="1:20" s="53" customFormat="1" ht="15.75">
      <c r="A24" s="33"/>
      <c r="B24" s="33"/>
      <c r="C24" s="33"/>
      <c r="D24" s="33"/>
      <c r="E24" s="33"/>
      <c r="F24" s="33"/>
      <c r="G24" s="33"/>
      <c r="H24" s="33"/>
      <c r="I24" s="33"/>
      <c r="J24" s="62"/>
      <c r="K24" s="33"/>
      <c r="L24" s="33"/>
      <c r="M24" s="33"/>
      <c r="N24" s="33"/>
      <c r="O24" s="33"/>
      <c r="P24" s="33"/>
      <c r="Q24" s="33"/>
      <c r="R24" s="33"/>
      <c r="S24" s="33"/>
      <c r="T24" s="33"/>
    </row>
    <row r="25" spans="1:20" s="53" customFormat="1" ht="15.75">
      <c r="A25" s="33"/>
      <c r="B25" s="33"/>
      <c r="C25" s="33"/>
      <c r="D25" s="33"/>
      <c r="E25" s="33"/>
      <c r="F25" s="33"/>
      <c r="G25" s="33"/>
      <c r="H25" s="33"/>
      <c r="I25" s="33"/>
      <c r="J25" s="62"/>
      <c r="K25" s="33"/>
      <c r="L25" s="33"/>
      <c r="M25" s="33"/>
      <c r="N25" s="33"/>
      <c r="O25" s="33"/>
      <c r="P25" s="33"/>
      <c r="Q25" s="33"/>
      <c r="R25" s="33"/>
      <c r="S25" s="33"/>
      <c r="T25" s="33"/>
    </row>
    <row r="26" spans="1:20" s="53" customFormat="1" ht="15.75">
      <c r="A26" s="33"/>
      <c r="B26" s="33"/>
      <c r="C26" s="33"/>
      <c r="D26" s="33"/>
      <c r="E26" s="33"/>
      <c r="F26" s="33"/>
      <c r="G26" s="33"/>
      <c r="H26" s="33"/>
      <c r="I26" s="33"/>
      <c r="J26" s="62"/>
      <c r="K26" s="33"/>
      <c r="L26" s="33"/>
      <c r="M26" s="33"/>
      <c r="N26" s="33"/>
      <c r="O26" s="33"/>
      <c r="P26" s="33"/>
      <c r="Q26" s="33"/>
      <c r="R26" s="33"/>
      <c r="S26" s="33"/>
      <c r="T26" s="33"/>
    </row>
    <row r="27" spans="1:20" s="53" customFormat="1" ht="15.75">
      <c r="A27" s="33"/>
      <c r="B27" s="33"/>
      <c r="C27" s="33"/>
      <c r="D27" s="33"/>
      <c r="E27" s="33"/>
      <c r="F27" s="33"/>
      <c r="G27" s="33"/>
      <c r="H27" s="33"/>
      <c r="I27" s="33"/>
      <c r="J27" s="62"/>
      <c r="K27" s="33"/>
      <c r="L27" s="33"/>
      <c r="M27" s="33"/>
      <c r="N27" s="33"/>
      <c r="O27" s="33"/>
      <c r="P27" s="33"/>
      <c r="Q27" s="33"/>
      <c r="R27" s="33"/>
      <c r="S27" s="33"/>
      <c r="T27" s="33"/>
    </row>
    <row r="28" spans="1:20" s="53" customFormat="1" ht="15.75">
      <c r="A28" s="33"/>
      <c r="B28" s="33"/>
      <c r="C28" s="33"/>
      <c r="D28" s="33"/>
      <c r="E28" s="33"/>
      <c r="F28" s="33"/>
      <c r="G28" s="33"/>
      <c r="H28" s="33"/>
      <c r="I28" s="33"/>
      <c r="J28" s="62"/>
      <c r="K28" s="33"/>
      <c r="L28" s="33"/>
      <c r="M28" s="33"/>
      <c r="N28" s="33"/>
      <c r="O28" s="33"/>
      <c r="P28" s="33"/>
      <c r="Q28" s="33"/>
      <c r="R28" s="33"/>
      <c r="S28" s="33"/>
      <c r="T28" s="33"/>
    </row>
    <row r="29" spans="1:20" s="53" customFormat="1" ht="15.75">
      <c r="A29" s="33"/>
      <c r="B29" s="33"/>
      <c r="C29" s="33"/>
      <c r="D29" s="33"/>
      <c r="E29" s="33"/>
      <c r="F29" s="33"/>
      <c r="G29" s="33"/>
      <c r="H29" s="33"/>
      <c r="I29" s="33"/>
      <c r="J29" s="62"/>
      <c r="K29" s="33"/>
      <c r="L29" s="33"/>
      <c r="M29" s="33"/>
      <c r="N29" s="33"/>
      <c r="O29" s="33"/>
      <c r="P29" s="33"/>
      <c r="Q29" s="33"/>
      <c r="R29" s="33"/>
      <c r="S29" s="33"/>
      <c r="T29" s="33"/>
    </row>
    <row r="30" spans="1:20" s="53" customFormat="1" ht="15.75">
      <c r="A30" s="33"/>
      <c r="B30" s="33"/>
      <c r="C30" s="33"/>
      <c r="D30" s="33"/>
      <c r="E30" s="33"/>
      <c r="F30" s="33"/>
      <c r="G30" s="33"/>
      <c r="H30" s="33"/>
      <c r="I30" s="33"/>
      <c r="J30" s="62"/>
      <c r="K30" s="33"/>
      <c r="L30" s="33"/>
      <c r="M30" s="33"/>
      <c r="N30" s="33"/>
      <c r="O30" s="33"/>
      <c r="P30" s="33"/>
      <c r="Q30" s="33"/>
      <c r="R30" s="33"/>
      <c r="S30" s="33"/>
      <c r="T30" s="33"/>
    </row>
    <row r="31" spans="1:20" s="53" customFormat="1" ht="15.75">
      <c r="A31" s="33"/>
      <c r="B31" s="33"/>
      <c r="C31" s="33"/>
      <c r="D31" s="33"/>
      <c r="E31" s="33"/>
      <c r="F31" s="33"/>
      <c r="G31" s="33"/>
      <c r="H31" s="33"/>
      <c r="I31" s="33"/>
      <c r="J31" s="62"/>
      <c r="K31" s="33"/>
      <c r="L31" s="33"/>
      <c r="M31" s="33"/>
      <c r="N31" s="33"/>
      <c r="O31" s="33"/>
      <c r="P31" s="33"/>
      <c r="Q31" s="33"/>
      <c r="R31" s="33"/>
      <c r="S31" s="33"/>
      <c r="T31" s="33"/>
    </row>
    <row r="32" spans="1:20" s="53" customFormat="1" ht="15.75">
      <c r="A32" s="33"/>
      <c r="B32" s="33"/>
      <c r="C32" s="33"/>
      <c r="D32" s="33"/>
      <c r="E32" s="33"/>
      <c r="F32" s="33"/>
      <c r="G32" s="33"/>
      <c r="H32" s="33"/>
      <c r="I32" s="33"/>
      <c r="J32" s="62"/>
      <c r="K32" s="33"/>
      <c r="L32" s="33"/>
      <c r="M32" s="33"/>
      <c r="N32" s="33"/>
      <c r="O32" s="33"/>
      <c r="P32" s="33"/>
      <c r="Q32" s="33"/>
      <c r="R32" s="33"/>
      <c r="S32" s="33"/>
      <c r="T32" s="33"/>
    </row>
    <row r="33" spans="1:20" s="53" customFormat="1" ht="15.75">
      <c r="A33" s="33"/>
      <c r="B33" s="33"/>
      <c r="C33" s="33"/>
      <c r="D33" s="33"/>
      <c r="E33" s="33"/>
      <c r="F33" s="33"/>
      <c r="G33" s="33"/>
      <c r="H33" s="33"/>
      <c r="I33" s="33"/>
      <c r="J33" s="62"/>
      <c r="K33" s="33"/>
      <c r="L33" s="33"/>
      <c r="M33" s="33"/>
      <c r="N33" s="33"/>
      <c r="O33" s="33"/>
      <c r="P33" s="33"/>
      <c r="Q33" s="33"/>
      <c r="R33" s="33"/>
      <c r="S33" s="33"/>
      <c r="T33" s="33"/>
    </row>
    <row r="34" spans="1:20" s="53" customFormat="1" ht="15.75">
      <c r="A34" s="33"/>
      <c r="B34" s="33"/>
      <c r="C34" s="33"/>
      <c r="D34" s="33"/>
      <c r="E34" s="33"/>
      <c r="F34" s="33"/>
      <c r="G34" s="33"/>
      <c r="H34" s="33"/>
      <c r="I34" s="33"/>
      <c r="J34" s="62"/>
      <c r="K34" s="33"/>
      <c r="L34" s="33"/>
      <c r="M34" s="33"/>
      <c r="N34" s="33"/>
      <c r="O34" s="33"/>
      <c r="P34" s="33"/>
      <c r="Q34" s="33"/>
      <c r="R34" s="33"/>
      <c r="S34" s="33"/>
      <c r="T34" s="33"/>
    </row>
    <row r="35" spans="1:20" s="53" customFormat="1" ht="15.75">
      <c r="A35" s="33"/>
      <c r="B35" s="33"/>
      <c r="C35" s="33"/>
      <c r="D35" s="33"/>
      <c r="E35" s="33"/>
      <c r="F35" s="33"/>
      <c r="G35" s="33"/>
      <c r="H35" s="33"/>
      <c r="I35" s="33"/>
      <c r="J35" s="62"/>
      <c r="K35" s="33"/>
      <c r="L35" s="33"/>
      <c r="M35" s="33"/>
      <c r="N35" s="33"/>
      <c r="O35" s="33"/>
      <c r="P35" s="33"/>
      <c r="Q35" s="33"/>
      <c r="R35" s="33"/>
      <c r="S35" s="33"/>
      <c r="T35" s="33"/>
    </row>
    <row r="36" spans="1:20" s="53" customFormat="1" ht="15.75">
      <c r="A36" s="33"/>
      <c r="B36" s="33"/>
      <c r="C36" s="33"/>
      <c r="D36" s="33"/>
      <c r="E36" s="33"/>
      <c r="F36" s="33"/>
      <c r="G36" s="33"/>
      <c r="H36" s="33"/>
      <c r="I36" s="33"/>
      <c r="J36" s="62"/>
      <c r="K36" s="33"/>
      <c r="L36" s="33"/>
      <c r="M36" s="33"/>
      <c r="N36" s="33"/>
      <c r="O36" s="33"/>
      <c r="P36" s="33"/>
      <c r="Q36" s="33"/>
      <c r="R36" s="33"/>
      <c r="S36" s="33"/>
      <c r="T36" s="33"/>
    </row>
    <row r="37" spans="1:20" ht="15.75">
      <c r="A37" s="33"/>
      <c r="B37" s="33"/>
      <c r="C37" s="33"/>
      <c r="D37" s="33"/>
      <c r="E37" s="33"/>
      <c r="F37" s="33"/>
      <c r="G37" s="33"/>
      <c r="H37" s="33"/>
      <c r="I37" s="33"/>
      <c r="J37" s="62"/>
      <c r="K37" s="33"/>
      <c r="L37" s="33"/>
      <c r="M37" s="33"/>
      <c r="N37" s="33"/>
      <c r="O37" s="33"/>
      <c r="P37" s="33"/>
      <c r="Q37" s="33"/>
      <c r="R37" s="33"/>
      <c r="S37" s="33"/>
      <c r="T37" s="33"/>
    </row>
    <row r="38" spans="1:20" ht="15.75">
      <c r="A38" s="33"/>
      <c r="B38" s="33"/>
      <c r="C38" s="33"/>
      <c r="D38" s="33"/>
      <c r="E38" s="33"/>
      <c r="F38" s="33"/>
      <c r="G38" s="33"/>
      <c r="H38" s="33"/>
      <c r="I38" s="33"/>
      <c r="J38" s="62"/>
      <c r="K38" s="33"/>
      <c r="L38" s="33"/>
      <c r="M38" s="33"/>
      <c r="N38" s="33"/>
      <c r="O38" s="33"/>
      <c r="P38" s="33"/>
      <c r="Q38" s="33"/>
      <c r="R38" s="33"/>
      <c r="S38" s="33"/>
      <c r="T38" s="33"/>
    </row>
    <row r="39" spans="1:20" ht="15.75">
      <c r="A39" s="33"/>
      <c r="B39" s="33"/>
      <c r="C39" s="33"/>
      <c r="D39" s="33"/>
      <c r="E39" s="33"/>
      <c r="F39" s="33"/>
      <c r="G39" s="33"/>
      <c r="H39" s="33"/>
      <c r="I39" s="33"/>
      <c r="J39" s="62"/>
      <c r="K39" s="33"/>
      <c r="L39" s="33"/>
      <c r="M39" s="33"/>
      <c r="N39" s="33"/>
      <c r="O39" s="33"/>
      <c r="P39" s="33"/>
      <c r="Q39" s="33"/>
      <c r="R39" s="33"/>
      <c r="S39" s="33"/>
      <c r="T39" s="33"/>
    </row>
    <row r="40" spans="1:20" ht="15.75">
      <c r="A40" s="33"/>
      <c r="B40" s="33"/>
      <c r="C40" s="33"/>
      <c r="D40" s="33"/>
      <c r="E40" s="33"/>
      <c r="F40" s="33"/>
      <c r="G40" s="33"/>
      <c r="H40" s="33"/>
      <c r="I40" s="33"/>
      <c r="J40" s="62"/>
      <c r="K40" s="33"/>
      <c r="L40" s="33"/>
      <c r="M40" s="33"/>
      <c r="N40" s="33"/>
      <c r="O40" s="33"/>
      <c r="P40" s="33"/>
      <c r="Q40" s="33"/>
      <c r="R40" s="33"/>
      <c r="S40" s="33"/>
      <c r="T40" s="33"/>
    </row>
    <row r="41" spans="1:20" ht="15.75">
      <c r="A41" s="33"/>
      <c r="B41" s="33"/>
      <c r="C41" s="33"/>
      <c r="D41" s="33"/>
      <c r="E41" s="33"/>
      <c r="F41" s="33"/>
      <c r="G41" s="33"/>
      <c r="H41" s="33"/>
      <c r="I41" s="33"/>
      <c r="J41" s="62"/>
      <c r="K41" s="33"/>
      <c r="L41" s="33"/>
      <c r="M41" s="33"/>
      <c r="N41" s="33"/>
      <c r="O41" s="33"/>
      <c r="P41" s="33"/>
      <c r="Q41" s="33"/>
      <c r="R41" s="33"/>
      <c r="S41" s="33"/>
      <c r="T41" s="33"/>
    </row>
    <row r="42" spans="1:20" ht="15.75">
      <c r="A42" s="33"/>
      <c r="B42" s="33"/>
      <c r="C42" s="33"/>
      <c r="D42" s="33"/>
      <c r="E42" s="33"/>
      <c r="F42" s="33"/>
      <c r="G42" s="33"/>
      <c r="H42" s="33"/>
      <c r="I42" s="33"/>
      <c r="J42" s="62"/>
      <c r="K42" s="33"/>
      <c r="L42" s="33"/>
      <c r="M42" s="33"/>
      <c r="N42" s="33"/>
      <c r="O42" s="33"/>
      <c r="P42" s="33"/>
      <c r="Q42" s="33"/>
      <c r="R42" s="33"/>
      <c r="S42" s="33"/>
      <c r="T42" s="33"/>
    </row>
    <row r="43" spans="1:20" ht="15.75">
      <c r="A43" s="33"/>
      <c r="B43" s="33"/>
      <c r="C43" s="33"/>
      <c r="D43" s="33"/>
      <c r="E43" s="33"/>
      <c r="F43" s="33"/>
      <c r="G43" s="33"/>
      <c r="H43" s="33"/>
      <c r="I43" s="33"/>
      <c r="J43" s="62"/>
      <c r="K43" s="33"/>
      <c r="L43" s="33"/>
      <c r="M43" s="33"/>
      <c r="N43" s="33"/>
      <c r="O43" s="33"/>
      <c r="P43" s="33"/>
      <c r="Q43" s="33"/>
      <c r="R43" s="33"/>
      <c r="S43" s="33"/>
      <c r="T43" s="33"/>
    </row>
    <row r="44" spans="1:20" ht="15.75">
      <c r="A44" s="33"/>
      <c r="B44" s="33"/>
      <c r="C44" s="33"/>
      <c r="D44" s="33"/>
      <c r="E44" s="33"/>
      <c r="F44" s="33"/>
      <c r="G44" s="33"/>
      <c r="H44" s="33"/>
      <c r="I44" s="33"/>
      <c r="J44" s="62"/>
      <c r="K44" s="33"/>
      <c r="L44" s="33"/>
      <c r="M44" s="33"/>
      <c r="N44" s="33"/>
      <c r="O44" s="33"/>
      <c r="P44" s="33"/>
      <c r="Q44" s="33"/>
      <c r="R44" s="33"/>
      <c r="S44" s="33"/>
      <c r="T44" s="33"/>
    </row>
    <row r="45" spans="1:20" ht="15.75">
      <c r="A45" s="33"/>
      <c r="B45" s="33"/>
      <c r="C45" s="33"/>
      <c r="D45" s="33"/>
      <c r="E45" s="33"/>
      <c r="F45" s="33"/>
      <c r="G45" s="33"/>
      <c r="H45" s="33"/>
      <c r="I45" s="33"/>
      <c r="J45" s="62"/>
      <c r="K45" s="33"/>
      <c r="L45" s="33"/>
      <c r="M45" s="33"/>
      <c r="N45" s="33"/>
      <c r="O45" s="33"/>
      <c r="P45" s="33"/>
      <c r="Q45" s="33"/>
      <c r="R45" s="33"/>
      <c r="S45" s="33"/>
      <c r="T45" s="33"/>
    </row>
    <row r="46" spans="1:20" ht="15.75">
      <c r="A46" s="33"/>
      <c r="B46" s="33"/>
      <c r="C46" s="33"/>
      <c r="D46" s="33"/>
      <c r="E46" s="33"/>
      <c r="F46" s="33"/>
      <c r="G46" s="33"/>
      <c r="H46" s="33"/>
      <c r="I46" s="33"/>
      <c r="J46" s="62"/>
      <c r="K46" s="33"/>
      <c r="L46" s="33"/>
      <c r="M46" s="33"/>
      <c r="N46" s="33"/>
      <c r="O46" s="33"/>
      <c r="P46" s="33"/>
      <c r="Q46" s="33"/>
      <c r="R46" s="33"/>
      <c r="S46" s="33"/>
      <c r="T46" s="33"/>
    </row>
    <row r="47" spans="1:20">
      <c r="A47" s="51"/>
      <c r="B47" s="51"/>
      <c r="C47" s="51"/>
      <c r="D47" s="51"/>
      <c r="E47" s="51"/>
      <c r="F47" s="51"/>
      <c r="G47" s="51"/>
      <c r="H47" s="51"/>
      <c r="I47" s="51"/>
      <c r="J47" s="52"/>
      <c r="K47" s="51"/>
      <c r="L47" s="51"/>
      <c r="M47" s="51"/>
      <c r="N47" s="51"/>
      <c r="O47" s="51"/>
      <c r="P47" s="51"/>
      <c r="Q47" s="51"/>
      <c r="R47" s="51"/>
      <c r="S47" s="51"/>
      <c r="T47" s="51"/>
    </row>
    <row r="48" spans="1:20">
      <c r="A48" s="51"/>
      <c r="B48" s="51"/>
      <c r="C48" s="51"/>
      <c r="D48" s="51"/>
      <c r="E48" s="51"/>
      <c r="F48" s="51"/>
      <c r="G48" s="51"/>
      <c r="H48" s="51"/>
      <c r="I48" s="51"/>
      <c r="J48" s="52"/>
      <c r="K48" s="51"/>
      <c r="L48" s="51"/>
      <c r="M48" s="51"/>
      <c r="N48" s="51"/>
      <c r="O48" s="51"/>
      <c r="P48" s="51"/>
      <c r="Q48" s="51"/>
      <c r="R48" s="51"/>
      <c r="S48" s="51"/>
      <c r="T48" s="51"/>
    </row>
    <row r="49" spans="1:20">
      <c r="A49" s="51"/>
      <c r="B49" s="51"/>
      <c r="C49" s="51"/>
      <c r="D49" s="51"/>
      <c r="E49" s="51"/>
      <c r="F49" s="51"/>
      <c r="G49" s="51"/>
      <c r="H49" s="51"/>
      <c r="I49" s="51"/>
      <c r="J49" s="52"/>
      <c r="K49" s="51"/>
      <c r="L49" s="51"/>
      <c r="M49" s="51"/>
      <c r="N49" s="51"/>
      <c r="O49" s="51"/>
      <c r="P49" s="51"/>
      <c r="Q49" s="51"/>
      <c r="R49" s="51"/>
      <c r="S49" s="51"/>
      <c r="T49" s="51"/>
    </row>
    <row r="50" spans="1:20">
      <c r="A50" s="51"/>
      <c r="B50" s="51"/>
      <c r="C50" s="51"/>
      <c r="D50" s="51"/>
      <c r="E50" s="51"/>
      <c r="F50" s="51"/>
      <c r="G50" s="51"/>
      <c r="H50" s="51"/>
      <c r="I50" s="51"/>
      <c r="J50" s="52"/>
      <c r="K50" s="51"/>
      <c r="L50" s="51"/>
      <c r="M50" s="51"/>
      <c r="N50" s="51"/>
      <c r="O50" s="51"/>
      <c r="P50" s="51"/>
      <c r="Q50" s="51"/>
      <c r="R50" s="51"/>
      <c r="S50" s="51"/>
      <c r="T50" s="51"/>
    </row>
    <row r="51" spans="1:20">
      <c r="A51" s="51"/>
      <c r="B51" s="51"/>
      <c r="C51" s="51"/>
      <c r="D51" s="51"/>
      <c r="E51" s="51"/>
      <c r="F51" s="51"/>
      <c r="G51" s="51"/>
      <c r="H51" s="51"/>
      <c r="I51" s="51"/>
      <c r="J51" s="52"/>
      <c r="K51" s="51"/>
      <c r="L51" s="51"/>
      <c r="M51" s="51"/>
      <c r="N51" s="51"/>
      <c r="O51" s="51"/>
      <c r="P51" s="51"/>
      <c r="Q51" s="51"/>
      <c r="R51" s="51"/>
      <c r="S51" s="51"/>
      <c r="T51" s="51"/>
    </row>
    <row r="52" spans="1:20">
      <c r="A52" s="51"/>
      <c r="B52" s="51"/>
      <c r="C52" s="51"/>
      <c r="D52" s="51"/>
      <c r="E52" s="51"/>
      <c r="F52" s="51"/>
      <c r="G52" s="51"/>
      <c r="H52" s="51"/>
      <c r="I52" s="51"/>
      <c r="J52" s="52"/>
      <c r="K52" s="51"/>
      <c r="L52" s="51"/>
      <c r="M52" s="51"/>
      <c r="N52" s="51"/>
      <c r="O52" s="51"/>
      <c r="P52" s="51"/>
      <c r="Q52" s="51"/>
      <c r="R52" s="51"/>
      <c r="S52" s="51"/>
      <c r="T52" s="51"/>
    </row>
    <row r="53" spans="1:20">
      <c r="A53" s="51"/>
      <c r="B53" s="51"/>
      <c r="C53" s="51"/>
      <c r="D53" s="51"/>
      <c r="E53" s="51"/>
      <c r="F53" s="51"/>
      <c r="G53" s="51"/>
      <c r="H53" s="51"/>
      <c r="I53" s="51"/>
      <c r="J53" s="52"/>
      <c r="K53" s="51"/>
      <c r="L53" s="51"/>
      <c r="M53" s="51"/>
      <c r="N53" s="51"/>
      <c r="O53" s="51"/>
      <c r="P53" s="51"/>
      <c r="Q53" s="51"/>
      <c r="R53" s="51"/>
      <c r="S53" s="51"/>
      <c r="T53" s="51"/>
    </row>
    <row r="54" spans="1:20">
      <c r="A54" s="51"/>
      <c r="B54" s="51"/>
      <c r="C54" s="51"/>
      <c r="D54" s="51"/>
      <c r="E54" s="51"/>
      <c r="F54" s="51"/>
      <c r="G54" s="51"/>
      <c r="H54" s="51"/>
      <c r="I54" s="51"/>
      <c r="J54" s="52"/>
      <c r="K54" s="51"/>
      <c r="L54" s="51"/>
      <c r="M54" s="51"/>
      <c r="N54" s="51"/>
      <c r="O54" s="51"/>
      <c r="P54" s="51"/>
      <c r="Q54" s="51"/>
      <c r="R54" s="51"/>
      <c r="S54" s="51"/>
      <c r="T54" s="51"/>
    </row>
    <row r="55" spans="1:20">
      <c r="A55" s="51"/>
      <c r="B55" s="51"/>
      <c r="C55" s="51"/>
      <c r="D55" s="51"/>
      <c r="E55" s="51"/>
      <c r="F55" s="51"/>
      <c r="G55" s="51"/>
      <c r="H55" s="51"/>
      <c r="I55" s="51"/>
      <c r="J55" s="52"/>
      <c r="K55" s="51"/>
      <c r="L55" s="51"/>
      <c r="M55" s="51"/>
      <c r="N55" s="51"/>
      <c r="O55" s="51"/>
      <c r="P55" s="51"/>
      <c r="Q55" s="51"/>
      <c r="R55" s="51"/>
      <c r="S55" s="51"/>
      <c r="T55" s="51"/>
    </row>
    <row r="56" spans="1:20">
      <c r="A56" s="51"/>
      <c r="B56" s="51"/>
      <c r="C56" s="51"/>
      <c r="D56" s="51"/>
      <c r="E56" s="51"/>
      <c r="F56" s="51"/>
      <c r="G56" s="51"/>
      <c r="H56" s="51"/>
      <c r="I56" s="51"/>
      <c r="J56" s="52"/>
      <c r="K56" s="51"/>
      <c r="L56" s="51"/>
      <c r="M56" s="51"/>
      <c r="N56" s="51"/>
      <c r="O56" s="51"/>
      <c r="P56" s="51"/>
      <c r="Q56" s="51"/>
      <c r="R56" s="51"/>
      <c r="S56" s="51"/>
      <c r="T56" s="51"/>
    </row>
    <row r="57" spans="1:20">
      <c r="A57" s="51"/>
      <c r="B57" s="51"/>
      <c r="C57" s="51"/>
      <c r="D57" s="51"/>
      <c r="E57" s="51"/>
      <c r="F57" s="51"/>
      <c r="G57" s="51"/>
      <c r="H57" s="51"/>
      <c r="I57" s="51"/>
      <c r="J57" s="52"/>
      <c r="K57" s="51"/>
      <c r="L57" s="51"/>
      <c r="M57" s="51"/>
      <c r="N57" s="51"/>
      <c r="O57" s="51"/>
      <c r="P57" s="51"/>
      <c r="Q57" s="51"/>
      <c r="R57" s="51"/>
      <c r="S57" s="51"/>
      <c r="T57" s="51"/>
    </row>
    <row r="58" spans="1:20">
      <c r="A58" s="51"/>
      <c r="B58" s="51"/>
      <c r="C58" s="51"/>
      <c r="D58" s="51"/>
      <c r="E58" s="51"/>
      <c r="F58" s="51"/>
      <c r="G58" s="51"/>
      <c r="H58" s="51"/>
      <c r="I58" s="51"/>
      <c r="J58" s="52"/>
      <c r="K58" s="51"/>
      <c r="L58" s="51"/>
      <c r="M58" s="51"/>
      <c r="N58" s="51"/>
      <c r="O58" s="51"/>
      <c r="P58" s="51"/>
      <c r="Q58" s="51"/>
      <c r="R58" s="51"/>
      <c r="S58" s="51"/>
      <c r="T58" s="51"/>
    </row>
    <row r="59" spans="1:20">
      <c r="A59" s="51"/>
      <c r="B59" s="51"/>
      <c r="C59" s="51"/>
      <c r="D59" s="51"/>
      <c r="E59" s="51"/>
      <c r="F59" s="51"/>
      <c r="G59" s="51"/>
      <c r="H59" s="51"/>
      <c r="I59" s="51"/>
      <c r="J59" s="52"/>
      <c r="K59" s="51"/>
      <c r="L59" s="51"/>
      <c r="M59" s="51"/>
      <c r="N59" s="51"/>
      <c r="O59" s="51"/>
      <c r="P59" s="51"/>
      <c r="Q59" s="51"/>
      <c r="R59" s="51"/>
      <c r="S59" s="51"/>
      <c r="T59" s="51"/>
    </row>
    <row r="60" spans="1:20">
      <c r="A60" s="51"/>
      <c r="B60" s="51"/>
      <c r="C60" s="51"/>
      <c r="D60" s="51"/>
      <c r="E60" s="51"/>
      <c r="F60" s="51"/>
      <c r="G60" s="51"/>
      <c r="H60" s="51"/>
      <c r="I60" s="51"/>
      <c r="J60" s="52"/>
      <c r="K60" s="51"/>
      <c r="L60" s="51"/>
      <c r="M60" s="51"/>
      <c r="N60" s="51"/>
      <c r="O60" s="51"/>
      <c r="P60" s="51"/>
      <c r="Q60" s="51"/>
      <c r="R60" s="51"/>
      <c r="S60" s="51"/>
      <c r="T60" s="51"/>
    </row>
    <row r="61" spans="1:20">
      <c r="A61" s="51"/>
      <c r="B61" s="51"/>
      <c r="C61" s="51"/>
      <c r="D61" s="51"/>
      <c r="E61" s="51"/>
      <c r="F61" s="51"/>
      <c r="G61" s="51"/>
      <c r="H61" s="51"/>
      <c r="I61" s="51"/>
      <c r="J61" s="52"/>
      <c r="K61" s="51"/>
      <c r="L61" s="51"/>
      <c r="M61" s="51"/>
      <c r="N61" s="51"/>
      <c r="O61" s="51"/>
      <c r="P61" s="51"/>
      <c r="Q61" s="51"/>
      <c r="R61" s="51"/>
      <c r="S61" s="51"/>
      <c r="T61" s="51"/>
    </row>
    <row r="62" spans="1:20">
      <c r="A62" s="51"/>
      <c r="B62" s="51"/>
      <c r="C62" s="51"/>
      <c r="D62" s="51"/>
      <c r="E62" s="51"/>
      <c r="F62" s="51"/>
      <c r="G62" s="51"/>
      <c r="H62" s="51"/>
      <c r="I62" s="51"/>
      <c r="J62" s="52"/>
      <c r="K62" s="51"/>
      <c r="L62" s="51"/>
      <c r="M62" s="51"/>
      <c r="N62" s="51"/>
      <c r="O62" s="51"/>
      <c r="P62" s="51"/>
      <c r="Q62" s="51"/>
      <c r="R62" s="51"/>
      <c r="S62" s="51"/>
      <c r="T62" s="51"/>
    </row>
    <row r="63" spans="1:20">
      <c r="A63" s="51"/>
      <c r="B63" s="51"/>
      <c r="C63" s="51"/>
      <c r="D63" s="51"/>
      <c r="E63" s="51"/>
      <c r="F63" s="51"/>
      <c r="G63" s="51"/>
      <c r="H63" s="51"/>
      <c r="I63" s="51"/>
      <c r="J63" s="52"/>
      <c r="K63" s="51"/>
      <c r="L63" s="51"/>
      <c r="M63" s="51"/>
      <c r="N63" s="51"/>
      <c r="O63" s="51"/>
      <c r="P63" s="51"/>
      <c r="Q63" s="51"/>
      <c r="R63" s="51"/>
      <c r="S63" s="51"/>
      <c r="T63" s="51"/>
    </row>
    <row r="64" spans="1:20">
      <c r="A64" s="51"/>
      <c r="B64" s="51"/>
      <c r="C64" s="51"/>
      <c r="D64" s="51"/>
      <c r="E64" s="51"/>
      <c r="F64" s="51"/>
      <c r="G64" s="51"/>
      <c r="H64" s="51"/>
      <c r="I64" s="51"/>
      <c r="J64" s="52"/>
      <c r="K64" s="51"/>
      <c r="L64" s="51"/>
      <c r="M64" s="51"/>
      <c r="N64" s="51"/>
      <c r="O64" s="51"/>
      <c r="P64" s="51"/>
      <c r="Q64" s="51"/>
      <c r="R64" s="51"/>
      <c r="S64" s="51"/>
      <c r="T64" s="51"/>
    </row>
    <row r="65" spans="1:20">
      <c r="A65" s="51"/>
      <c r="B65" s="51"/>
      <c r="C65" s="51"/>
      <c r="D65" s="51"/>
      <c r="E65" s="51"/>
      <c r="F65" s="51"/>
      <c r="G65" s="51"/>
      <c r="H65" s="51"/>
      <c r="I65" s="51"/>
      <c r="J65" s="52"/>
      <c r="K65" s="51"/>
      <c r="L65" s="51"/>
      <c r="M65" s="51"/>
      <c r="N65" s="51"/>
      <c r="O65" s="51"/>
      <c r="P65" s="51"/>
      <c r="Q65" s="51"/>
      <c r="R65" s="51"/>
      <c r="S65" s="51"/>
      <c r="T65" s="51"/>
    </row>
    <row r="66" spans="1:20">
      <c r="A66" s="51"/>
      <c r="B66" s="51"/>
      <c r="C66" s="51"/>
      <c r="D66" s="51"/>
      <c r="E66" s="51"/>
      <c r="F66" s="51"/>
      <c r="G66" s="51"/>
      <c r="H66" s="51"/>
      <c r="I66" s="51"/>
      <c r="J66" s="52"/>
      <c r="K66" s="51"/>
      <c r="L66" s="51"/>
      <c r="M66" s="51"/>
      <c r="N66" s="51"/>
      <c r="O66" s="51"/>
      <c r="P66" s="51"/>
      <c r="Q66" s="51"/>
      <c r="R66" s="51"/>
      <c r="S66" s="51"/>
      <c r="T66" s="51"/>
    </row>
    <row r="67" spans="1:20">
      <c r="A67" s="51"/>
      <c r="B67" s="51"/>
      <c r="C67" s="51"/>
      <c r="D67" s="51"/>
      <c r="E67" s="51"/>
      <c r="F67" s="51"/>
      <c r="G67" s="51"/>
      <c r="H67" s="51"/>
      <c r="I67" s="51"/>
      <c r="J67" s="52"/>
      <c r="K67" s="51"/>
      <c r="L67" s="51"/>
      <c r="M67" s="51"/>
      <c r="N67" s="51"/>
      <c r="O67" s="51"/>
      <c r="P67" s="51"/>
      <c r="Q67" s="51"/>
      <c r="R67" s="51"/>
      <c r="S67" s="51"/>
      <c r="T67" s="51"/>
    </row>
    <row r="68" spans="1:20">
      <c r="A68" s="51"/>
      <c r="B68" s="51"/>
      <c r="C68" s="51"/>
      <c r="D68" s="51"/>
      <c r="E68" s="51"/>
      <c r="F68" s="51"/>
      <c r="G68" s="51"/>
      <c r="H68" s="51"/>
      <c r="I68" s="51"/>
      <c r="J68" s="52"/>
      <c r="K68" s="51"/>
      <c r="L68" s="51"/>
      <c r="M68" s="51"/>
      <c r="N68" s="51"/>
      <c r="O68" s="51"/>
      <c r="P68" s="51"/>
      <c r="Q68" s="51"/>
      <c r="R68" s="51"/>
      <c r="S68" s="51"/>
      <c r="T68" s="51"/>
    </row>
    <row r="69" spans="1:20">
      <c r="A69" s="51"/>
      <c r="B69" s="51"/>
      <c r="C69" s="51"/>
      <c r="D69" s="51"/>
      <c r="E69" s="51"/>
      <c r="F69" s="51"/>
      <c r="G69" s="51"/>
      <c r="H69" s="51"/>
      <c r="I69" s="51"/>
      <c r="J69" s="52"/>
      <c r="K69" s="51"/>
      <c r="L69" s="51"/>
      <c r="M69" s="51"/>
      <c r="N69" s="51"/>
      <c r="O69" s="51"/>
      <c r="P69" s="51"/>
      <c r="Q69" s="51"/>
      <c r="R69" s="51"/>
      <c r="S69" s="51"/>
      <c r="T69" s="51"/>
    </row>
    <row r="70" spans="1:20">
      <c r="A70" s="51"/>
      <c r="B70" s="51"/>
      <c r="C70" s="51"/>
      <c r="D70" s="51"/>
      <c r="E70" s="51"/>
      <c r="F70" s="51"/>
      <c r="G70" s="51"/>
      <c r="H70" s="51"/>
      <c r="I70" s="51"/>
      <c r="J70" s="52"/>
      <c r="K70" s="51"/>
      <c r="L70" s="51"/>
      <c r="M70" s="51"/>
      <c r="N70" s="51"/>
      <c r="O70" s="51"/>
      <c r="P70" s="51"/>
      <c r="Q70" s="51"/>
      <c r="R70" s="51"/>
      <c r="S70" s="51"/>
      <c r="T70" s="51"/>
    </row>
    <row r="71" spans="1:20">
      <c r="A71" s="51"/>
      <c r="B71" s="51"/>
      <c r="C71" s="51"/>
      <c r="D71" s="51"/>
      <c r="E71" s="51"/>
      <c r="F71" s="51"/>
      <c r="G71" s="51"/>
      <c r="H71" s="51"/>
      <c r="I71" s="51"/>
      <c r="J71" s="52"/>
      <c r="K71" s="51"/>
      <c r="L71" s="51"/>
      <c r="M71" s="51"/>
      <c r="N71" s="51"/>
      <c r="O71" s="51"/>
      <c r="P71" s="51"/>
      <c r="Q71" s="51"/>
      <c r="R71" s="51"/>
      <c r="S71" s="51"/>
      <c r="T71" s="51"/>
    </row>
    <row r="72" spans="1:20">
      <c r="A72" s="51"/>
      <c r="B72" s="51"/>
      <c r="C72" s="51"/>
      <c r="D72" s="51"/>
      <c r="E72" s="51"/>
      <c r="F72" s="51"/>
      <c r="G72" s="51"/>
      <c r="H72" s="51"/>
      <c r="I72" s="51"/>
      <c r="J72" s="52"/>
      <c r="K72" s="51"/>
      <c r="L72" s="51"/>
      <c r="M72" s="51"/>
      <c r="N72" s="51"/>
      <c r="O72" s="51"/>
      <c r="P72" s="51"/>
      <c r="Q72" s="51"/>
      <c r="R72" s="51"/>
      <c r="S72" s="51"/>
      <c r="T72" s="51"/>
    </row>
    <row r="73" spans="1:20">
      <c r="A73" s="51"/>
      <c r="B73" s="51"/>
      <c r="C73" s="51"/>
      <c r="D73" s="51"/>
      <c r="E73" s="51"/>
      <c r="F73" s="51"/>
      <c r="G73" s="51"/>
      <c r="H73" s="51"/>
      <c r="I73" s="51"/>
      <c r="J73" s="52"/>
      <c r="K73" s="51"/>
      <c r="L73" s="51"/>
      <c r="M73" s="51"/>
      <c r="N73" s="51"/>
      <c r="O73" s="51"/>
      <c r="P73" s="51"/>
      <c r="Q73" s="51"/>
      <c r="R73" s="51"/>
      <c r="S73" s="51"/>
      <c r="T73" s="51"/>
    </row>
    <row r="74" spans="1:20">
      <c r="A74" s="51"/>
      <c r="B74" s="51"/>
      <c r="C74" s="51"/>
      <c r="D74" s="51"/>
      <c r="E74" s="51"/>
      <c r="F74" s="51"/>
      <c r="G74" s="51"/>
      <c r="H74" s="51"/>
      <c r="I74" s="51"/>
      <c r="J74" s="52"/>
      <c r="K74" s="51"/>
      <c r="L74" s="51"/>
      <c r="M74" s="51"/>
      <c r="N74" s="51"/>
      <c r="O74" s="51"/>
      <c r="P74" s="51"/>
      <c r="Q74" s="51"/>
      <c r="R74" s="51"/>
      <c r="S74" s="51"/>
      <c r="T74" s="51"/>
    </row>
    <row r="75" spans="1:20">
      <c r="A75" s="51"/>
      <c r="B75" s="51"/>
      <c r="C75" s="51"/>
      <c r="D75" s="51"/>
      <c r="E75" s="51"/>
      <c r="F75" s="51"/>
      <c r="G75" s="51"/>
      <c r="H75" s="51"/>
      <c r="I75" s="51"/>
      <c r="J75" s="52"/>
      <c r="K75" s="51"/>
      <c r="L75" s="51"/>
      <c r="M75" s="51"/>
      <c r="N75" s="51"/>
      <c r="O75" s="51"/>
      <c r="P75" s="51"/>
      <c r="Q75" s="51"/>
      <c r="R75" s="51"/>
      <c r="S75" s="51"/>
      <c r="T75" s="51"/>
    </row>
    <row r="76" spans="1:20">
      <c r="A76" s="51"/>
      <c r="B76" s="51"/>
      <c r="C76" s="51"/>
      <c r="D76" s="51"/>
      <c r="E76" s="51"/>
      <c r="F76" s="51"/>
      <c r="G76" s="51"/>
      <c r="H76" s="51"/>
      <c r="I76" s="51"/>
      <c r="J76" s="52"/>
      <c r="K76" s="51"/>
      <c r="L76" s="51"/>
      <c r="M76" s="51"/>
      <c r="N76" s="51"/>
      <c r="O76" s="51"/>
      <c r="P76" s="51"/>
      <c r="Q76" s="51"/>
      <c r="R76" s="51"/>
      <c r="S76" s="51"/>
      <c r="T76" s="51"/>
    </row>
    <row r="77" spans="1:20">
      <c r="A77" s="51"/>
      <c r="B77" s="51"/>
      <c r="C77" s="51"/>
      <c r="D77" s="51"/>
      <c r="E77" s="51"/>
      <c r="F77" s="51"/>
      <c r="G77" s="51"/>
      <c r="H77" s="51"/>
      <c r="I77" s="51"/>
      <c r="J77" s="52"/>
      <c r="K77" s="51"/>
      <c r="L77" s="51"/>
      <c r="M77" s="51"/>
      <c r="N77" s="51"/>
      <c r="O77" s="51"/>
      <c r="P77" s="51"/>
      <c r="Q77" s="51"/>
      <c r="R77" s="51"/>
      <c r="S77" s="51"/>
      <c r="T77" s="51"/>
    </row>
    <row r="78" spans="1:20">
      <c r="A78" s="51"/>
      <c r="B78" s="51"/>
      <c r="C78" s="51"/>
      <c r="D78" s="51"/>
      <c r="E78" s="51"/>
      <c r="F78" s="51"/>
      <c r="G78" s="51"/>
      <c r="H78" s="51"/>
      <c r="I78" s="51"/>
      <c r="J78" s="52"/>
      <c r="K78" s="51"/>
      <c r="L78" s="51"/>
      <c r="M78" s="51"/>
      <c r="N78" s="51"/>
      <c r="O78" s="51"/>
      <c r="P78" s="51"/>
      <c r="Q78" s="51"/>
      <c r="R78" s="51"/>
      <c r="S78" s="51"/>
      <c r="T78" s="51"/>
    </row>
    <row r="79" spans="1:20">
      <c r="A79" s="51"/>
      <c r="B79" s="51"/>
      <c r="C79" s="51"/>
      <c r="D79" s="51"/>
      <c r="E79" s="51"/>
      <c r="F79" s="51"/>
      <c r="G79" s="51"/>
      <c r="H79" s="51"/>
      <c r="I79" s="51"/>
      <c r="J79" s="52"/>
      <c r="K79" s="51"/>
      <c r="L79" s="51"/>
      <c r="M79" s="51"/>
      <c r="N79" s="51"/>
      <c r="O79" s="51"/>
      <c r="P79" s="51"/>
      <c r="Q79" s="51"/>
      <c r="R79" s="51"/>
      <c r="S79" s="51"/>
      <c r="T79" s="51"/>
    </row>
    <row r="80" spans="1:20">
      <c r="A80" s="51"/>
      <c r="B80" s="51"/>
      <c r="C80" s="51"/>
      <c r="D80" s="51"/>
      <c r="E80" s="51"/>
      <c r="F80" s="51"/>
      <c r="G80" s="51"/>
      <c r="H80" s="51"/>
      <c r="I80" s="51"/>
      <c r="J80" s="52"/>
      <c r="K80" s="51"/>
      <c r="L80" s="51"/>
      <c r="M80" s="51"/>
      <c r="N80" s="51"/>
      <c r="O80" s="51"/>
      <c r="P80" s="51"/>
      <c r="Q80" s="51"/>
      <c r="R80" s="51"/>
      <c r="S80" s="51"/>
      <c r="T80" s="51"/>
    </row>
    <row r="81" spans="1:20">
      <c r="A81" s="51"/>
      <c r="B81" s="51"/>
      <c r="C81" s="51"/>
      <c r="D81" s="51"/>
      <c r="E81" s="51"/>
      <c r="F81" s="51"/>
      <c r="G81" s="51"/>
      <c r="H81" s="51"/>
      <c r="I81" s="51"/>
      <c r="J81" s="52"/>
      <c r="K81" s="51"/>
      <c r="L81" s="51"/>
      <c r="M81" s="51"/>
      <c r="N81" s="51"/>
      <c r="O81" s="51"/>
      <c r="P81" s="51"/>
      <c r="Q81" s="51"/>
      <c r="R81" s="51"/>
      <c r="S81" s="51"/>
      <c r="T81" s="51"/>
    </row>
  </sheetData>
  <mergeCells count="34">
    <mergeCell ref="A1:T1"/>
    <mergeCell ref="A2:T2"/>
    <mergeCell ref="A3:T3"/>
    <mergeCell ref="A4:C4"/>
    <mergeCell ref="A5:A7"/>
    <mergeCell ref="B5:C7"/>
    <mergeCell ref="D5:D7"/>
    <mergeCell ref="E5:E7"/>
    <mergeCell ref="F5:F7"/>
    <mergeCell ref="G5:G7"/>
    <mergeCell ref="T5:T7"/>
    <mergeCell ref="L6:L7"/>
    <mergeCell ref="M6:M7"/>
    <mergeCell ref="O6:O7"/>
    <mergeCell ref="P6:Q6"/>
    <mergeCell ref="L5:M5"/>
    <mergeCell ref="N5:N7"/>
    <mergeCell ref="F18:G18"/>
    <mergeCell ref="E11:E13"/>
    <mergeCell ref="F11:F13"/>
    <mergeCell ref="S11:S13"/>
    <mergeCell ref="O5:Q5"/>
    <mergeCell ref="R5:R7"/>
    <mergeCell ref="S5:S7"/>
    <mergeCell ref="H5:H7"/>
    <mergeCell ref="I5:I7"/>
    <mergeCell ref="J5:J7"/>
    <mergeCell ref="K5:K7"/>
    <mergeCell ref="B8:C8"/>
    <mergeCell ref="A9:T9"/>
    <mergeCell ref="A14:C14"/>
    <mergeCell ref="F16:G16"/>
    <mergeCell ref="F17:G17"/>
    <mergeCell ref="T11:T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33"/>
  <sheetViews>
    <sheetView topLeftCell="B21" workbookViewId="0">
      <selection activeCell="H23" sqref="H23"/>
    </sheetView>
  </sheetViews>
  <sheetFormatPr defaultColWidth="9.140625" defaultRowHeight="15"/>
  <cols>
    <col min="1" max="1" width="5.140625" customWidth="1"/>
    <col min="2" max="2" width="4" customWidth="1"/>
    <col min="3" max="3" width="20" customWidth="1"/>
    <col min="4" max="4" width="13" customWidth="1"/>
    <col min="6" max="6" width="10.85546875" customWidth="1"/>
    <col min="7" max="7" width="11.140625" customWidth="1"/>
    <col min="8" max="8" width="10.140625" customWidth="1"/>
    <col min="9" max="9" width="11.28515625" customWidth="1"/>
    <col min="10" max="10" width="8.140625" customWidth="1"/>
    <col min="11" max="11" width="7.42578125" customWidth="1"/>
    <col min="12" max="12" width="6.28515625" customWidth="1"/>
    <col min="13" max="13" width="6.42578125" customWidth="1"/>
    <col min="14" max="14" width="11" bestFit="1" customWidth="1"/>
    <col min="15" max="15" width="6.7109375" customWidth="1"/>
    <col min="16" max="16" width="9.85546875" customWidth="1"/>
    <col min="17" max="17" width="22.5703125" customWidth="1"/>
  </cols>
  <sheetData>
    <row r="1" spans="1:17" ht="16.5">
      <c r="A1" s="674" t="s">
        <v>209</v>
      </c>
      <c r="B1" s="674"/>
      <c r="C1" s="674"/>
      <c r="D1" s="674"/>
      <c r="E1" s="674"/>
      <c r="F1" s="674"/>
      <c r="G1" s="674"/>
      <c r="H1" s="674"/>
      <c r="I1" s="674"/>
      <c r="J1" s="674"/>
      <c r="K1" s="674"/>
      <c r="L1" s="674"/>
      <c r="M1" s="674"/>
      <c r="N1" s="674"/>
      <c r="O1" s="674"/>
      <c r="P1" s="674"/>
      <c r="Q1" s="674"/>
    </row>
    <row r="2" spans="1:17" ht="16.5">
      <c r="A2" s="674" t="s">
        <v>44</v>
      </c>
      <c r="B2" s="674"/>
      <c r="C2" s="674"/>
      <c r="D2" s="674"/>
      <c r="E2" s="674"/>
      <c r="F2" s="674"/>
      <c r="G2" s="674"/>
      <c r="H2" s="674"/>
      <c r="I2" s="674"/>
      <c r="J2" s="674"/>
      <c r="K2" s="674"/>
      <c r="L2" s="674"/>
      <c r="M2" s="674"/>
      <c r="N2" s="674"/>
      <c r="O2" s="674"/>
      <c r="P2" s="674"/>
      <c r="Q2" s="674"/>
    </row>
    <row r="3" spans="1:17" ht="16.5">
      <c r="A3" s="674" t="s">
        <v>718</v>
      </c>
      <c r="B3" s="674"/>
      <c r="C3" s="674"/>
      <c r="D3" s="674"/>
      <c r="E3" s="674"/>
      <c r="F3" s="674"/>
      <c r="G3" s="674"/>
      <c r="H3" s="674"/>
      <c r="I3" s="674"/>
      <c r="J3" s="674"/>
      <c r="K3" s="674"/>
      <c r="L3" s="674"/>
      <c r="M3" s="674"/>
      <c r="N3" s="674"/>
      <c r="O3" s="674"/>
      <c r="P3" s="674"/>
      <c r="Q3" s="674"/>
    </row>
    <row r="4" spans="1:17" ht="15.75" thickBot="1">
      <c r="A4" s="675"/>
      <c r="B4" s="675"/>
      <c r="C4" s="675"/>
      <c r="D4" s="51"/>
      <c r="E4" s="51"/>
      <c r="F4" s="51"/>
      <c r="G4" s="51"/>
      <c r="H4" s="51"/>
      <c r="I4" s="51"/>
      <c r="J4" s="51"/>
      <c r="K4" s="51"/>
      <c r="L4" s="51"/>
      <c r="M4" s="51"/>
      <c r="N4" s="51"/>
      <c r="O4" s="51"/>
      <c r="P4" s="51"/>
      <c r="Q4" s="51"/>
    </row>
    <row r="5" spans="1:17" ht="33" customHeight="1">
      <c r="A5" s="714" t="s">
        <v>210</v>
      </c>
      <c r="B5" s="717" t="s">
        <v>211</v>
      </c>
      <c r="C5" s="718"/>
      <c r="D5" s="707" t="s">
        <v>284</v>
      </c>
      <c r="E5" s="707" t="s">
        <v>212</v>
      </c>
      <c r="F5" s="707" t="s">
        <v>213</v>
      </c>
      <c r="G5" s="707" t="s">
        <v>301</v>
      </c>
      <c r="H5" s="707" t="s">
        <v>215</v>
      </c>
      <c r="I5" s="707" t="s">
        <v>216</v>
      </c>
      <c r="J5" s="710" t="s">
        <v>217</v>
      </c>
      <c r="K5" s="710"/>
      <c r="L5" s="711" t="s">
        <v>218</v>
      </c>
      <c r="M5" s="710" t="s">
        <v>219</v>
      </c>
      <c r="N5" s="710"/>
      <c r="O5" s="710"/>
      <c r="P5" s="711" t="s">
        <v>220</v>
      </c>
      <c r="Q5" s="723" t="s">
        <v>38</v>
      </c>
    </row>
    <row r="6" spans="1:17" ht="33" customHeight="1">
      <c r="A6" s="715"/>
      <c r="B6" s="719"/>
      <c r="C6" s="720"/>
      <c r="D6" s="708"/>
      <c r="E6" s="708"/>
      <c r="F6" s="708"/>
      <c r="G6" s="708"/>
      <c r="H6" s="708"/>
      <c r="I6" s="708"/>
      <c r="J6" s="708" t="s">
        <v>221</v>
      </c>
      <c r="K6" s="708" t="s">
        <v>222</v>
      </c>
      <c r="L6" s="712"/>
      <c r="M6" s="708" t="s">
        <v>223</v>
      </c>
      <c r="N6" s="726" t="s">
        <v>224</v>
      </c>
      <c r="O6" s="726"/>
      <c r="P6" s="712"/>
      <c r="Q6" s="724"/>
    </row>
    <row r="7" spans="1:17" ht="33" customHeight="1" thickBot="1">
      <c r="A7" s="716"/>
      <c r="B7" s="721"/>
      <c r="C7" s="722"/>
      <c r="D7" s="709"/>
      <c r="E7" s="709"/>
      <c r="F7" s="709"/>
      <c r="G7" s="709"/>
      <c r="H7" s="709"/>
      <c r="I7" s="709"/>
      <c r="J7" s="709"/>
      <c r="K7" s="709"/>
      <c r="L7" s="713"/>
      <c r="M7" s="709"/>
      <c r="N7" s="69" t="s">
        <v>225</v>
      </c>
      <c r="O7" s="70" t="s">
        <v>63</v>
      </c>
      <c r="P7" s="713"/>
      <c r="Q7" s="725"/>
    </row>
    <row r="8" spans="1:17" ht="15.75" thickBot="1">
      <c r="A8" s="71">
        <v>1</v>
      </c>
      <c r="B8" s="705">
        <v>2</v>
      </c>
      <c r="C8" s="706"/>
      <c r="D8" s="73">
        <v>3</v>
      </c>
      <c r="E8" s="73">
        <v>4</v>
      </c>
      <c r="F8" s="73">
        <v>5</v>
      </c>
      <c r="G8" s="74">
        <v>6</v>
      </c>
      <c r="H8" s="73">
        <v>7</v>
      </c>
      <c r="I8" s="73">
        <v>8</v>
      </c>
      <c r="J8" s="73">
        <v>9</v>
      </c>
      <c r="K8" s="73">
        <v>10</v>
      </c>
      <c r="L8" s="73">
        <v>11</v>
      </c>
      <c r="M8" s="73">
        <v>12</v>
      </c>
      <c r="N8" s="72">
        <v>13</v>
      </c>
      <c r="O8" s="75">
        <v>14</v>
      </c>
      <c r="P8" s="75">
        <v>15</v>
      </c>
      <c r="Q8" s="76">
        <v>16</v>
      </c>
    </row>
    <row r="9" spans="1:17" ht="20.45" customHeight="1">
      <c r="A9" s="700" t="s">
        <v>226</v>
      </c>
      <c r="B9" s="701"/>
      <c r="C9" s="701"/>
      <c r="D9" s="701"/>
      <c r="E9" s="701"/>
      <c r="F9" s="701"/>
      <c r="G9" s="701"/>
      <c r="H9" s="701"/>
      <c r="I9" s="701"/>
      <c r="J9" s="701"/>
      <c r="K9" s="701"/>
      <c r="L9" s="701"/>
      <c r="M9" s="701"/>
      <c r="N9" s="701"/>
      <c r="O9" s="701"/>
      <c r="P9" s="701"/>
      <c r="Q9" s="702"/>
    </row>
    <row r="10" spans="1:17" ht="20.45" customHeight="1">
      <c r="A10" s="106" t="s">
        <v>207</v>
      </c>
      <c r="B10" s="693" t="s">
        <v>138</v>
      </c>
      <c r="C10" s="694"/>
      <c r="D10" s="694"/>
      <c r="E10" s="694"/>
      <c r="F10" s="694"/>
      <c r="G10" s="694"/>
      <c r="H10" s="694"/>
      <c r="I10" s="694"/>
      <c r="J10" s="694"/>
      <c r="K10" s="694"/>
      <c r="L10" s="694"/>
      <c r="M10" s="694"/>
      <c r="N10" s="694"/>
      <c r="O10" s="694"/>
      <c r="P10" s="694"/>
      <c r="Q10" s="695"/>
    </row>
    <row r="11" spans="1:17" ht="39.950000000000003" customHeight="1">
      <c r="A11" s="77"/>
      <c r="B11" s="78">
        <v>1</v>
      </c>
      <c r="C11" s="79" t="s">
        <v>291</v>
      </c>
      <c r="D11" s="80">
        <v>7500000</v>
      </c>
      <c r="E11" s="686" t="s">
        <v>227</v>
      </c>
      <c r="F11" s="688" t="s">
        <v>25</v>
      </c>
      <c r="G11" s="80"/>
      <c r="H11" s="81"/>
      <c r="I11" s="82"/>
      <c r="J11" s="83"/>
      <c r="K11" s="84"/>
      <c r="L11" s="85"/>
      <c r="M11" s="85"/>
      <c r="N11" s="86"/>
      <c r="O11" s="87"/>
      <c r="P11" s="688" t="s">
        <v>285</v>
      </c>
      <c r="Q11" s="691" t="s">
        <v>303</v>
      </c>
    </row>
    <row r="12" spans="1:17" ht="39.950000000000003" customHeight="1">
      <c r="A12" s="77"/>
      <c r="B12" s="78">
        <v>2</v>
      </c>
      <c r="C12" s="79" t="s">
        <v>292</v>
      </c>
      <c r="D12" s="80">
        <v>2000000</v>
      </c>
      <c r="E12" s="690"/>
      <c r="F12" s="703"/>
      <c r="G12" s="80">
        <v>1900000</v>
      </c>
      <c r="H12" s="81" t="s">
        <v>771</v>
      </c>
      <c r="I12" s="82" t="s">
        <v>772</v>
      </c>
      <c r="J12" s="535" t="s">
        <v>773</v>
      </c>
      <c r="K12" s="536" t="s">
        <v>774</v>
      </c>
      <c r="L12" s="85"/>
      <c r="M12" s="537">
        <v>100</v>
      </c>
      <c r="N12" s="86">
        <f>G12</f>
        <v>1900000</v>
      </c>
      <c r="O12" s="537">
        <v>100</v>
      </c>
      <c r="P12" s="703"/>
      <c r="Q12" s="704"/>
    </row>
    <row r="13" spans="1:17" ht="39.950000000000003" customHeight="1">
      <c r="A13" s="77"/>
      <c r="B13" s="78">
        <v>3</v>
      </c>
      <c r="C13" s="79" t="s">
        <v>293</v>
      </c>
      <c r="D13" s="80">
        <v>2000000</v>
      </c>
      <c r="E13" s="690"/>
      <c r="F13" s="703"/>
      <c r="G13" s="80">
        <v>1950000</v>
      </c>
      <c r="H13" s="81" t="s">
        <v>771</v>
      </c>
      <c r="I13" s="82" t="s">
        <v>772</v>
      </c>
      <c r="J13" s="535" t="s">
        <v>773</v>
      </c>
      <c r="K13" s="536" t="s">
        <v>774</v>
      </c>
      <c r="L13" s="85"/>
      <c r="M13" s="537">
        <v>100</v>
      </c>
      <c r="N13" s="86">
        <f t="shared" ref="N13:N14" si="0">G13</f>
        <v>1950000</v>
      </c>
      <c r="O13" s="537">
        <v>100</v>
      </c>
      <c r="P13" s="703"/>
      <c r="Q13" s="704"/>
    </row>
    <row r="14" spans="1:17" ht="39.950000000000003" customHeight="1">
      <c r="A14" s="77"/>
      <c r="B14" s="78">
        <v>4</v>
      </c>
      <c r="C14" s="79" t="s">
        <v>294</v>
      </c>
      <c r="D14" s="80">
        <v>3500000</v>
      </c>
      <c r="E14" s="687"/>
      <c r="F14" s="689"/>
      <c r="G14" s="80">
        <v>3400000</v>
      </c>
      <c r="H14" s="81" t="s">
        <v>771</v>
      </c>
      <c r="I14" s="82" t="s">
        <v>772</v>
      </c>
      <c r="J14" s="535" t="s">
        <v>773</v>
      </c>
      <c r="K14" s="536" t="s">
        <v>774</v>
      </c>
      <c r="L14" s="85"/>
      <c r="M14" s="537">
        <v>100</v>
      </c>
      <c r="N14" s="86">
        <f t="shared" si="0"/>
        <v>3400000</v>
      </c>
      <c r="O14" s="537">
        <v>100</v>
      </c>
      <c r="P14" s="689"/>
      <c r="Q14" s="692"/>
    </row>
    <row r="15" spans="1:17" ht="20.45" customHeight="1">
      <c r="A15" s="107" t="s">
        <v>208</v>
      </c>
      <c r="B15" s="693" t="s">
        <v>228</v>
      </c>
      <c r="C15" s="694"/>
      <c r="D15" s="694"/>
      <c r="E15" s="694"/>
      <c r="F15" s="694"/>
      <c r="G15" s="694"/>
      <c r="H15" s="694"/>
      <c r="I15" s="694"/>
      <c r="J15" s="694"/>
      <c r="K15" s="694"/>
      <c r="L15" s="694"/>
      <c r="M15" s="694"/>
      <c r="N15" s="694"/>
      <c r="O15" s="694"/>
      <c r="P15" s="694"/>
      <c r="Q15" s="695"/>
    </row>
    <row r="16" spans="1:17" ht="112.5" customHeight="1">
      <c r="A16" s="88"/>
      <c r="B16" s="78">
        <v>1</v>
      </c>
      <c r="C16" s="79" t="s">
        <v>295</v>
      </c>
      <c r="D16" s="80">
        <v>24000000</v>
      </c>
      <c r="E16" s="686" t="s">
        <v>227</v>
      </c>
      <c r="F16" s="688" t="s">
        <v>25</v>
      </c>
      <c r="G16" s="80"/>
      <c r="H16" s="81"/>
      <c r="I16" s="82"/>
      <c r="J16" s="83"/>
      <c r="K16" s="84"/>
      <c r="L16" s="85"/>
      <c r="M16" s="85"/>
      <c r="N16" s="86"/>
      <c r="O16" s="87"/>
      <c r="P16" s="686" t="s">
        <v>285</v>
      </c>
      <c r="Q16" s="656" t="s">
        <v>799</v>
      </c>
    </row>
    <row r="17" spans="1:17" ht="112.5" customHeight="1">
      <c r="A17" s="88"/>
      <c r="B17" s="78">
        <v>2</v>
      </c>
      <c r="C17" s="79" t="s">
        <v>296</v>
      </c>
      <c r="D17" s="80">
        <v>6000000</v>
      </c>
      <c r="E17" s="687"/>
      <c r="F17" s="689"/>
      <c r="G17" s="80"/>
      <c r="H17" s="81"/>
      <c r="I17" s="82"/>
      <c r="J17" s="83"/>
      <c r="K17" s="84"/>
      <c r="L17" s="85"/>
      <c r="M17" s="85"/>
      <c r="N17" s="86"/>
      <c r="O17" s="87"/>
      <c r="P17" s="687"/>
      <c r="Q17" s="657"/>
    </row>
    <row r="18" spans="1:17" ht="24.6" customHeight="1">
      <c r="A18" s="107" t="s">
        <v>229</v>
      </c>
      <c r="B18" s="693" t="s">
        <v>260</v>
      </c>
      <c r="C18" s="694"/>
      <c r="D18" s="694"/>
      <c r="E18" s="694"/>
      <c r="F18" s="694"/>
      <c r="G18" s="694"/>
      <c r="H18" s="694"/>
      <c r="I18" s="694"/>
      <c r="J18" s="694"/>
      <c r="K18" s="694"/>
      <c r="L18" s="694"/>
      <c r="M18" s="694"/>
      <c r="N18" s="694"/>
      <c r="O18" s="694"/>
      <c r="P18" s="694"/>
      <c r="Q18" s="695"/>
    </row>
    <row r="19" spans="1:17" ht="34.5" customHeight="1">
      <c r="A19" s="89"/>
      <c r="B19" s="78">
        <v>1</v>
      </c>
      <c r="C19" s="79" t="s">
        <v>297</v>
      </c>
      <c r="D19" s="80">
        <v>11000000</v>
      </c>
      <c r="E19" s="686" t="s">
        <v>227</v>
      </c>
      <c r="F19" s="688" t="s">
        <v>25</v>
      </c>
      <c r="G19" s="80">
        <v>10700000</v>
      </c>
      <c r="H19" s="81" t="s">
        <v>775</v>
      </c>
      <c r="I19" s="82" t="s">
        <v>772</v>
      </c>
      <c r="J19" s="535" t="s">
        <v>773</v>
      </c>
      <c r="K19" s="536" t="s">
        <v>774</v>
      </c>
      <c r="L19" s="85"/>
      <c r="M19" s="537">
        <v>100</v>
      </c>
      <c r="N19" s="86">
        <f>G19</f>
        <v>10700000</v>
      </c>
      <c r="O19" s="537">
        <v>100</v>
      </c>
      <c r="P19" s="686" t="s">
        <v>285</v>
      </c>
      <c r="Q19" s="691" t="s">
        <v>304</v>
      </c>
    </row>
    <row r="20" spans="1:17" ht="37.5" customHeight="1">
      <c r="A20" s="88"/>
      <c r="B20" s="78">
        <v>2</v>
      </c>
      <c r="C20" s="79" t="s">
        <v>298</v>
      </c>
      <c r="D20" s="80">
        <v>22500000</v>
      </c>
      <c r="E20" s="687"/>
      <c r="F20" s="689"/>
      <c r="G20" s="80">
        <v>22400000</v>
      </c>
      <c r="H20" s="81" t="s">
        <v>775</v>
      </c>
      <c r="I20" s="82" t="s">
        <v>772</v>
      </c>
      <c r="J20" s="535" t="s">
        <v>773</v>
      </c>
      <c r="K20" s="536" t="s">
        <v>774</v>
      </c>
      <c r="L20" s="85"/>
      <c r="M20" s="537">
        <v>100</v>
      </c>
      <c r="N20" s="86">
        <f>G20</f>
        <v>22400000</v>
      </c>
      <c r="O20" s="537">
        <v>100</v>
      </c>
      <c r="P20" s="690"/>
      <c r="Q20" s="692"/>
    </row>
    <row r="21" spans="1:17" ht="23.45" customHeight="1">
      <c r="A21" s="106" t="s">
        <v>290</v>
      </c>
      <c r="B21" s="693" t="s">
        <v>286</v>
      </c>
      <c r="C21" s="694"/>
      <c r="D21" s="694"/>
      <c r="E21" s="694"/>
      <c r="F21" s="694"/>
      <c r="G21" s="694"/>
      <c r="H21" s="694"/>
      <c r="I21" s="694"/>
      <c r="J21" s="694"/>
      <c r="K21" s="694"/>
      <c r="L21" s="694"/>
      <c r="M21" s="694"/>
      <c r="N21" s="694"/>
      <c r="O21" s="694"/>
      <c r="P21" s="694"/>
      <c r="Q21" s="695"/>
    </row>
    <row r="22" spans="1:17" ht="97.5" customHeight="1">
      <c r="A22" s="88"/>
      <c r="B22" s="78">
        <v>1</v>
      </c>
      <c r="C22" s="79" t="s">
        <v>299</v>
      </c>
      <c r="D22" s="80">
        <v>76830000</v>
      </c>
      <c r="E22" s="688" t="s">
        <v>227</v>
      </c>
      <c r="F22" s="688" t="s">
        <v>25</v>
      </c>
      <c r="G22" s="80"/>
      <c r="H22" s="81"/>
      <c r="I22" s="82"/>
      <c r="J22" s="83"/>
      <c r="K22" s="84"/>
      <c r="L22" s="85"/>
      <c r="M22" s="85"/>
      <c r="N22" s="86"/>
      <c r="O22" s="87"/>
      <c r="P22" s="697" t="s">
        <v>285</v>
      </c>
      <c r="Q22" s="691" t="s">
        <v>800</v>
      </c>
    </row>
    <row r="23" spans="1:17" ht="97.5" customHeight="1" thickBot="1">
      <c r="A23" s="88"/>
      <c r="B23" s="78">
        <v>2</v>
      </c>
      <c r="C23" s="79" t="s">
        <v>300</v>
      </c>
      <c r="D23" s="80">
        <v>18000000</v>
      </c>
      <c r="E23" s="696"/>
      <c r="F23" s="696"/>
      <c r="G23" s="80"/>
      <c r="H23" s="81"/>
      <c r="I23" s="82"/>
      <c r="J23" s="83"/>
      <c r="K23" s="84"/>
      <c r="L23" s="85"/>
      <c r="M23" s="85"/>
      <c r="N23" s="86"/>
      <c r="O23" s="87"/>
      <c r="P23" s="698"/>
      <c r="Q23" s="699"/>
    </row>
    <row r="24" spans="1:17" ht="24" customHeight="1" thickBot="1">
      <c r="A24" s="681" t="s">
        <v>230</v>
      </c>
      <c r="B24" s="682"/>
      <c r="C24" s="683"/>
      <c r="D24" s="90">
        <f>SUM(D11+D12+D13+D14+D16+D17+D19+D20+D22+D23)</f>
        <v>173330000</v>
      </c>
      <c r="E24" s="91"/>
      <c r="F24" s="92"/>
      <c r="G24" s="93"/>
      <c r="H24" s="92"/>
      <c r="I24" s="94"/>
      <c r="J24" s="92"/>
      <c r="K24" s="92"/>
      <c r="L24" s="95"/>
      <c r="M24" s="96"/>
      <c r="N24" s="97"/>
      <c r="O24" s="95"/>
      <c r="P24" s="98"/>
      <c r="Q24" s="99"/>
    </row>
    <row r="25" spans="1:17" ht="16.5">
      <c r="A25" s="66"/>
      <c r="B25" s="66"/>
      <c r="C25" s="66"/>
      <c r="D25" s="66"/>
      <c r="E25" s="66"/>
      <c r="F25" s="66"/>
      <c r="G25" s="66"/>
      <c r="H25" s="66"/>
      <c r="I25" s="66"/>
      <c r="J25" s="66"/>
      <c r="K25" s="66"/>
      <c r="L25" s="66"/>
      <c r="M25" s="66"/>
      <c r="N25" s="66"/>
      <c r="O25" s="66"/>
      <c r="P25" s="66"/>
      <c r="Q25" s="66"/>
    </row>
    <row r="26" spans="1:17" ht="16.5">
      <c r="A26" s="66"/>
      <c r="B26" s="66"/>
      <c r="C26" s="100"/>
      <c r="D26" s="101"/>
      <c r="E26" s="101"/>
      <c r="F26" s="684"/>
      <c r="G26" s="684"/>
      <c r="H26" s="102"/>
      <c r="I26" s="102"/>
      <c r="J26" s="66"/>
      <c r="K26" s="66"/>
      <c r="L26" s="66"/>
      <c r="M26" s="33" t="s">
        <v>720</v>
      </c>
      <c r="N26" s="66"/>
      <c r="O26" s="66"/>
      <c r="P26" s="66"/>
      <c r="Q26" s="66"/>
    </row>
    <row r="27" spans="1:17" ht="16.5">
      <c r="A27" s="66"/>
      <c r="B27" s="66"/>
      <c r="C27" s="100"/>
      <c r="D27" s="101"/>
      <c r="E27" s="101"/>
      <c r="F27" s="684"/>
      <c r="G27" s="684"/>
      <c r="H27" s="102"/>
      <c r="I27" s="102"/>
      <c r="J27" s="66"/>
      <c r="K27" s="66"/>
      <c r="L27" s="67" t="s">
        <v>45</v>
      </c>
      <c r="M27" s="33" t="s">
        <v>24</v>
      </c>
      <c r="N27" s="66"/>
      <c r="O27" s="66"/>
      <c r="P27" s="66"/>
      <c r="Q27" s="66"/>
    </row>
    <row r="28" spans="1:17" ht="16.5">
      <c r="A28" s="66"/>
      <c r="B28" s="66"/>
      <c r="C28" s="100"/>
      <c r="D28" s="103"/>
      <c r="E28" s="101"/>
      <c r="F28" s="685"/>
      <c r="G28" s="685"/>
      <c r="H28" s="102"/>
      <c r="I28" s="102"/>
      <c r="J28" s="66"/>
      <c r="K28" s="66"/>
      <c r="L28" s="66"/>
      <c r="M28" s="66"/>
      <c r="N28" s="66"/>
      <c r="O28" s="66"/>
      <c r="P28" s="66"/>
      <c r="Q28" s="66"/>
    </row>
    <row r="29" spans="1:17" ht="16.5">
      <c r="A29" s="66"/>
      <c r="B29" s="66"/>
      <c r="C29" s="102"/>
      <c r="D29" s="102"/>
      <c r="E29" s="102"/>
      <c r="F29" s="102"/>
      <c r="G29" s="102"/>
      <c r="H29" s="102"/>
      <c r="I29" s="102"/>
      <c r="J29" s="66"/>
      <c r="K29" s="66"/>
      <c r="L29" s="66"/>
      <c r="M29" s="66"/>
      <c r="N29" s="66"/>
      <c r="O29" s="66"/>
      <c r="P29" s="66"/>
      <c r="Q29" s="66"/>
    </row>
    <row r="30" spans="1:17" ht="16.5">
      <c r="A30" s="66"/>
      <c r="B30" s="66"/>
      <c r="C30" s="102"/>
      <c r="D30" s="102"/>
      <c r="E30" s="102"/>
      <c r="F30" s="102"/>
      <c r="G30" s="104"/>
      <c r="H30" s="102"/>
      <c r="I30" s="102"/>
      <c r="J30" s="66"/>
      <c r="K30" s="66"/>
      <c r="L30" s="66"/>
      <c r="M30" s="66"/>
      <c r="N30" s="66"/>
      <c r="O30" s="66"/>
      <c r="P30" s="66"/>
      <c r="Q30" s="66"/>
    </row>
    <row r="31" spans="1:17" ht="16.5">
      <c r="A31" s="66"/>
      <c r="B31" s="66"/>
      <c r="C31" s="102"/>
      <c r="D31" s="102"/>
      <c r="E31" s="102"/>
      <c r="F31" s="102"/>
      <c r="G31" s="102"/>
      <c r="H31" s="102"/>
      <c r="I31" s="102"/>
      <c r="J31" s="66"/>
      <c r="K31" s="66"/>
      <c r="L31" s="66"/>
      <c r="M31" s="68" t="s">
        <v>283</v>
      </c>
      <c r="N31" s="66"/>
      <c r="O31" s="66"/>
      <c r="P31" s="66"/>
      <c r="Q31" s="66"/>
    </row>
    <row r="32" spans="1:17" ht="16.5">
      <c r="A32" s="66"/>
      <c r="B32" s="66"/>
      <c r="C32" s="102"/>
      <c r="D32" s="102"/>
      <c r="E32" s="102"/>
      <c r="F32" s="102"/>
      <c r="G32" s="102"/>
      <c r="H32" s="102"/>
      <c r="I32" s="102"/>
      <c r="J32" s="66"/>
      <c r="K32" s="66"/>
      <c r="L32" s="66"/>
      <c r="M32" s="66" t="s">
        <v>26</v>
      </c>
      <c r="N32" s="66"/>
      <c r="O32" s="66"/>
      <c r="P32" s="66"/>
      <c r="Q32" s="66"/>
    </row>
    <row r="33" spans="1:17" ht="16.5">
      <c r="A33" s="66"/>
      <c r="B33" s="66"/>
      <c r="C33" s="66"/>
      <c r="D33" s="66"/>
      <c r="E33" s="66"/>
      <c r="F33" s="66"/>
      <c r="G33" s="66"/>
      <c r="H33" s="66"/>
      <c r="I33" s="66"/>
      <c r="J33" s="66"/>
      <c r="K33" s="66"/>
      <c r="L33" s="66"/>
      <c r="M33" s="66" t="s">
        <v>46</v>
      </c>
      <c r="N33" s="66"/>
      <c r="O33" s="66"/>
      <c r="P33" s="66"/>
      <c r="Q33" s="66"/>
    </row>
  </sheetData>
  <mergeCells count="47">
    <mergeCell ref="A1:Q1"/>
    <mergeCell ref="A2:Q2"/>
    <mergeCell ref="A3:Q3"/>
    <mergeCell ref="A4:C4"/>
    <mergeCell ref="A5:A7"/>
    <mergeCell ref="B5:C7"/>
    <mergeCell ref="D5:D7"/>
    <mergeCell ref="E5:E7"/>
    <mergeCell ref="F5:F7"/>
    <mergeCell ref="G5:G7"/>
    <mergeCell ref="Q5:Q7"/>
    <mergeCell ref="M6:M7"/>
    <mergeCell ref="N6:O6"/>
    <mergeCell ref="M5:O5"/>
    <mergeCell ref="P5:P7"/>
    <mergeCell ref="B8:C8"/>
    <mergeCell ref="H5:H7"/>
    <mergeCell ref="I5:I7"/>
    <mergeCell ref="J5:K5"/>
    <mergeCell ref="L5:L7"/>
    <mergeCell ref="J6:J7"/>
    <mergeCell ref="K6:K7"/>
    <mergeCell ref="B18:Q18"/>
    <mergeCell ref="A9:Q9"/>
    <mergeCell ref="B10:Q10"/>
    <mergeCell ref="E11:E14"/>
    <mergeCell ref="F11:F14"/>
    <mergeCell ref="P11:P14"/>
    <mergeCell ref="Q11:Q14"/>
    <mergeCell ref="B15:Q15"/>
    <mergeCell ref="E16:E17"/>
    <mergeCell ref="F16:F17"/>
    <mergeCell ref="P16:P17"/>
    <mergeCell ref="Q16:Q17"/>
    <mergeCell ref="P19:P20"/>
    <mergeCell ref="Q19:Q20"/>
    <mergeCell ref="B21:Q21"/>
    <mergeCell ref="E22:E23"/>
    <mergeCell ref="F22:F23"/>
    <mergeCell ref="P22:P23"/>
    <mergeCell ref="Q22:Q23"/>
    <mergeCell ref="A24:C24"/>
    <mergeCell ref="F26:G26"/>
    <mergeCell ref="F27:G27"/>
    <mergeCell ref="F28:G28"/>
    <mergeCell ref="E19:E20"/>
    <mergeCell ref="F19:F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H118"/>
  <sheetViews>
    <sheetView topLeftCell="B55" workbookViewId="0">
      <selection activeCell="H66" sqref="H66"/>
    </sheetView>
  </sheetViews>
  <sheetFormatPr defaultColWidth="9.140625" defaultRowHeight="16.5"/>
  <cols>
    <col min="1" max="1" width="5.42578125" style="102" customWidth="1"/>
    <col min="2" max="2" width="14.5703125" style="102" customWidth="1"/>
    <col min="3" max="3" width="17.7109375" style="102" customWidth="1"/>
    <col min="4" max="4" width="14.85546875" style="102" customWidth="1"/>
    <col min="5" max="6" width="4.140625" style="102" customWidth="1"/>
    <col min="7" max="8" width="5.85546875" style="102" customWidth="1"/>
    <col min="9" max="9" width="9.140625" style="102"/>
    <col min="10" max="10" width="13.5703125" style="102" customWidth="1"/>
    <col min="11" max="11" width="9.140625" style="102"/>
    <col min="12" max="12" width="11.85546875" style="102" customWidth="1"/>
    <col min="13" max="13" width="6.7109375" style="102" customWidth="1"/>
    <col min="14" max="14" width="9.140625" style="102" customWidth="1"/>
    <col min="15" max="18" width="6.7109375" style="102" customWidth="1"/>
    <col min="19" max="19" width="9.140625" style="102"/>
    <col min="20" max="20" width="15.7109375" style="102" customWidth="1"/>
    <col min="21" max="23" width="9.140625" style="102"/>
    <col min="24" max="24" width="10.85546875" style="102" customWidth="1"/>
    <col min="25" max="26" width="9.140625" style="102"/>
    <col min="27" max="27" width="11.7109375" style="158" customWidth="1"/>
    <col min="28" max="28" width="16.42578125" style="158" customWidth="1"/>
    <col min="29" max="30" width="9.140625" style="102"/>
    <col min="31" max="31" width="12" style="102" bestFit="1" customWidth="1"/>
    <col min="32" max="32" width="13.7109375" style="102" customWidth="1"/>
    <col min="33" max="33" width="13.85546875" style="102" customWidth="1"/>
    <col min="34" max="34" width="9.140625" style="102"/>
    <col min="35" max="16384" width="9.140625" style="65"/>
  </cols>
  <sheetData>
    <row r="1" spans="1:34">
      <c r="A1" s="767" t="s">
        <v>440</v>
      </c>
      <c r="B1" s="767"/>
      <c r="C1" s="767"/>
      <c r="D1" s="767"/>
      <c r="E1" s="767"/>
      <c r="F1" s="767"/>
      <c r="G1" s="767"/>
      <c r="H1" s="767"/>
      <c r="I1" s="767"/>
      <c r="J1" s="767"/>
      <c r="K1" s="767"/>
      <c r="L1" s="767"/>
      <c r="M1" s="767"/>
      <c r="N1" s="767"/>
      <c r="O1" s="767"/>
      <c r="P1" s="767"/>
      <c r="Q1" s="767"/>
      <c r="R1" s="767"/>
      <c r="S1" s="767"/>
      <c r="T1" s="767"/>
      <c r="U1" s="767"/>
      <c r="V1" s="767"/>
      <c r="W1" s="767"/>
      <c r="X1" s="767"/>
      <c r="Y1" s="767"/>
      <c r="Z1" s="767"/>
    </row>
    <row r="2" spans="1:34">
      <c r="A2" s="767" t="s">
        <v>722</v>
      </c>
      <c r="B2" s="767"/>
      <c r="C2" s="767"/>
      <c r="D2" s="767"/>
      <c r="E2" s="767"/>
      <c r="F2" s="767"/>
      <c r="G2" s="767"/>
      <c r="H2" s="767"/>
      <c r="I2" s="767"/>
      <c r="J2" s="767"/>
      <c r="K2" s="767"/>
      <c r="L2" s="767"/>
      <c r="M2" s="767"/>
      <c r="N2" s="767"/>
      <c r="O2" s="767"/>
      <c r="P2" s="767"/>
      <c r="Q2" s="767"/>
      <c r="R2" s="767"/>
      <c r="S2" s="767"/>
      <c r="T2" s="767"/>
      <c r="U2" s="767"/>
      <c r="V2" s="767"/>
      <c r="W2" s="767"/>
      <c r="X2" s="767"/>
      <c r="Y2" s="767"/>
      <c r="Z2" s="767"/>
    </row>
    <row r="3" spans="1:34">
      <c r="A3" s="768" t="s">
        <v>342</v>
      </c>
      <c r="B3" s="768"/>
      <c r="C3" s="768"/>
      <c r="D3" s="768"/>
      <c r="E3" s="768"/>
      <c r="F3" s="768"/>
      <c r="G3" s="768"/>
      <c r="H3" s="768"/>
      <c r="I3" s="768"/>
      <c r="J3" s="768"/>
      <c r="K3" s="768"/>
      <c r="L3" s="768"/>
      <c r="M3" s="768"/>
      <c r="N3" s="768"/>
      <c r="O3" s="768"/>
      <c r="P3" s="768"/>
      <c r="Q3" s="768"/>
      <c r="R3" s="768"/>
      <c r="S3" s="768"/>
      <c r="T3" s="768"/>
      <c r="U3" s="768"/>
      <c r="V3" s="768"/>
      <c r="W3" s="768"/>
      <c r="X3" s="768"/>
      <c r="Y3" s="768"/>
      <c r="Z3" s="768"/>
    </row>
    <row r="4" spans="1:34" ht="14.65" customHeight="1" thickBot="1"/>
    <row r="5" spans="1:34" ht="57.75" customHeight="1">
      <c r="A5" s="159" t="s">
        <v>343</v>
      </c>
      <c r="B5" s="160" t="s">
        <v>344</v>
      </c>
      <c r="C5" s="160" t="s">
        <v>345</v>
      </c>
      <c r="D5" s="160" t="s">
        <v>346</v>
      </c>
      <c r="E5" s="769" t="s">
        <v>347</v>
      </c>
      <c r="F5" s="769"/>
      <c r="G5" s="769" t="s">
        <v>442</v>
      </c>
      <c r="H5" s="769"/>
      <c r="I5" s="769" t="s">
        <v>441</v>
      </c>
      <c r="J5" s="769"/>
      <c r="K5" s="769" t="s">
        <v>348</v>
      </c>
      <c r="L5" s="769"/>
      <c r="M5" s="769"/>
      <c r="N5" s="769"/>
      <c r="O5" s="769"/>
      <c r="P5" s="769"/>
      <c r="Q5" s="769"/>
      <c r="R5" s="769"/>
      <c r="S5" s="769" t="s">
        <v>443</v>
      </c>
      <c r="T5" s="769"/>
      <c r="U5" s="769" t="s">
        <v>444</v>
      </c>
      <c r="V5" s="769"/>
      <c r="W5" s="769" t="s">
        <v>445</v>
      </c>
      <c r="X5" s="769"/>
      <c r="Y5" s="769" t="s">
        <v>446</v>
      </c>
      <c r="Z5" s="770"/>
      <c r="AA5" s="160" t="s">
        <v>447</v>
      </c>
      <c r="AB5" s="161" t="s">
        <v>38</v>
      </c>
    </row>
    <row r="6" spans="1:34">
      <c r="A6" s="162"/>
      <c r="B6" s="163"/>
      <c r="C6" s="164"/>
      <c r="D6" s="164"/>
      <c r="E6" s="758"/>
      <c r="F6" s="758"/>
      <c r="G6" s="765"/>
      <c r="H6" s="766"/>
      <c r="I6" s="761"/>
      <c r="J6" s="761"/>
      <c r="K6" s="758" t="s">
        <v>207</v>
      </c>
      <c r="L6" s="758"/>
      <c r="M6" s="758" t="s">
        <v>208</v>
      </c>
      <c r="N6" s="758"/>
      <c r="O6" s="758" t="s">
        <v>229</v>
      </c>
      <c r="P6" s="758"/>
      <c r="Q6" s="758" t="s">
        <v>290</v>
      </c>
      <c r="R6" s="758"/>
      <c r="S6" s="765"/>
      <c r="T6" s="766"/>
      <c r="U6" s="758"/>
      <c r="V6" s="758"/>
      <c r="W6" s="761"/>
      <c r="X6" s="761"/>
      <c r="Y6" s="761"/>
      <c r="Z6" s="762"/>
      <c r="AA6" s="164"/>
      <c r="AB6" s="166"/>
    </row>
    <row r="7" spans="1:34" ht="15" customHeight="1">
      <c r="A7" s="763">
        <v>1</v>
      </c>
      <c r="B7" s="764">
        <v>2</v>
      </c>
      <c r="C7" s="764">
        <v>3</v>
      </c>
      <c r="D7" s="764">
        <v>4</v>
      </c>
      <c r="E7" s="758">
        <v>5</v>
      </c>
      <c r="F7" s="758"/>
      <c r="G7" s="760">
        <v>6</v>
      </c>
      <c r="H7" s="760"/>
      <c r="I7" s="758">
        <v>7</v>
      </c>
      <c r="J7" s="758"/>
      <c r="K7" s="758">
        <v>8</v>
      </c>
      <c r="L7" s="758"/>
      <c r="M7" s="758">
        <v>9</v>
      </c>
      <c r="N7" s="758"/>
      <c r="O7" s="758">
        <v>10</v>
      </c>
      <c r="P7" s="758"/>
      <c r="Q7" s="758">
        <v>11</v>
      </c>
      <c r="R7" s="758"/>
      <c r="S7" s="760">
        <v>12</v>
      </c>
      <c r="T7" s="760"/>
      <c r="U7" s="760" t="s">
        <v>349</v>
      </c>
      <c r="V7" s="760"/>
      <c r="W7" s="758" t="s">
        <v>350</v>
      </c>
      <c r="X7" s="758"/>
      <c r="Y7" s="758" t="s">
        <v>351</v>
      </c>
      <c r="Z7" s="758"/>
      <c r="AA7" s="165">
        <v>16</v>
      </c>
      <c r="AB7" s="169">
        <v>17</v>
      </c>
    </row>
    <row r="8" spans="1:34">
      <c r="A8" s="763"/>
      <c r="B8" s="764"/>
      <c r="C8" s="764"/>
      <c r="D8" s="764"/>
      <c r="E8" s="170" t="s">
        <v>9</v>
      </c>
      <c r="F8" s="170" t="s">
        <v>352</v>
      </c>
      <c r="G8" s="170" t="s">
        <v>9</v>
      </c>
      <c r="H8" s="170" t="s">
        <v>352</v>
      </c>
      <c r="I8" s="170" t="s">
        <v>9</v>
      </c>
      <c r="J8" s="170" t="s">
        <v>352</v>
      </c>
      <c r="K8" s="170" t="s">
        <v>9</v>
      </c>
      <c r="L8" s="170" t="s">
        <v>352</v>
      </c>
      <c r="M8" s="170" t="s">
        <v>9</v>
      </c>
      <c r="N8" s="170" t="s">
        <v>352</v>
      </c>
      <c r="O8" s="170" t="s">
        <v>9</v>
      </c>
      <c r="P8" s="170" t="s">
        <v>352</v>
      </c>
      <c r="Q8" s="170" t="s">
        <v>9</v>
      </c>
      <c r="R8" s="170" t="s">
        <v>352</v>
      </c>
      <c r="S8" s="170" t="s">
        <v>9</v>
      </c>
      <c r="T8" s="170" t="s">
        <v>352</v>
      </c>
      <c r="U8" s="170" t="s">
        <v>9</v>
      </c>
      <c r="V8" s="170" t="s">
        <v>352</v>
      </c>
      <c r="W8" s="170" t="s">
        <v>9</v>
      </c>
      <c r="X8" s="170" t="s">
        <v>352</v>
      </c>
      <c r="Y8" s="170" t="s">
        <v>9</v>
      </c>
      <c r="Z8" s="171" t="s">
        <v>352</v>
      </c>
      <c r="AA8" s="172"/>
      <c r="AB8" s="172"/>
    </row>
    <row r="9" spans="1:34">
      <c r="A9" s="167"/>
      <c r="B9" s="173"/>
      <c r="C9" s="759" t="s">
        <v>239</v>
      </c>
      <c r="D9" s="753"/>
      <c r="E9" s="754"/>
      <c r="F9" s="755"/>
      <c r="G9" s="754"/>
      <c r="H9" s="755"/>
      <c r="I9" s="756"/>
      <c r="J9" s="746"/>
      <c r="K9" s="757"/>
      <c r="L9" s="757"/>
      <c r="M9" s="757"/>
      <c r="N9" s="757"/>
      <c r="O9" s="757"/>
      <c r="P9" s="757"/>
      <c r="Q9" s="757"/>
      <c r="R9" s="757"/>
      <c r="S9" s="746"/>
      <c r="T9" s="746"/>
      <c r="U9" s="181"/>
      <c r="V9" s="181"/>
      <c r="W9" s="176"/>
      <c r="X9" s="177"/>
      <c r="Y9" s="182"/>
      <c r="Z9" s="183"/>
      <c r="AA9" s="172"/>
      <c r="AB9" s="172"/>
    </row>
    <row r="10" spans="1:34" ht="51">
      <c r="A10" s="167"/>
      <c r="B10" s="173"/>
      <c r="C10" s="174" t="s">
        <v>69</v>
      </c>
      <c r="D10" s="175"/>
      <c r="E10" s="176"/>
      <c r="F10" s="177"/>
      <c r="G10" s="176"/>
      <c r="H10" s="177"/>
      <c r="I10" s="178"/>
      <c r="J10" s="179"/>
      <c r="K10" s="180"/>
      <c r="L10" s="180"/>
      <c r="M10" s="180"/>
      <c r="N10" s="180"/>
      <c r="O10" s="180"/>
      <c r="P10" s="180"/>
      <c r="Q10" s="180"/>
      <c r="R10" s="180"/>
      <c r="S10" s="179"/>
      <c r="T10" s="179"/>
      <c r="U10" s="181"/>
      <c r="V10" s="181"/>
      <c r="W10" s="176"/>
      <c r="X10" s="177"/>
      <c r="Y10" s="182"/>
      <c r="Z10" s="183"/>
      <c r="AA10" s="172"/>
      <c r="AB10" s="172"/>
    </row>
    <row r="11" spans="1:34" ht="59.25" customHeight="1">
      <c r="A11" s="167"/>
      <c r="B11" s="173"/>
      <c r="C11" s="184" t="s">
        <v>71</v>
      </c>
      <c r="D11" s="184" t="s">
        <v>353</v>
      </c>
      <c r="E11" s="185"/>
      <c r="F11" s="186"/>
      <c r="G11" s="185"/>
      <c r="H11" s="186"/>
      <c r="I11" s="187"/>
      <c r="J11" s="188"/>
      <c r="K11" s="189"/>
      <c r="L11" s="189"/>
      <c r="M11" s="189"/>
      <c r="N11" s="189"/>
      <c r="O11" s="189"/>
      <c r="P11" s="189"/>
      <c r="Q11" s="189"/>
      <c r="R11" s="189"/>
      <c r="S11" s="188"/>
      <c r="T11" s="188">
        <f>SUM(T12:T15)</f>
        <v>10893600</v>
      </c>
      <c r="U11" s="190" t="e">
        <f>S11/I11</f>
        <v>#DIV/0!</v>
      </c>
      <c r="V11" s="190" t="e">
        <f>T11/J11</f>
        <v>#DIV/0!</v>
      </c>
      <c r="W11" s="176">
        <f>S11+G11</f>
        <v>0</v>
      </c>
      <c r="X11" s="177">
        <f>T11+H11</f>
        <v>10893600</v>
      </c>
      <c r="Y11" s="182" t="e">
        <f>W11/E11</f>
        <v>#DIV/0!</v>
      </c>
      <c r="Z11" s="183" t="e">
        <f>X11/F11</f>
        <v>#DIV/0!</v>
      </c>
      <c r="AA11" s="172"/>
      <c r="AB11" s="172"/>
    </row>
    <row r="12" spans="1:34" s="580" customFormat="1" ht="48.75" customHeight="1">
      <c r="A12" s="567"/>
      <c r="B12" s="568"/>
      <c r="C12" s="569" t="s">
        <v>306</v>
      </c>
      <c r="D12" s="569" t="s">
        <v>243</v>
      </c>
      <c r="E12" s="570"/>
      <c r="F12" s="571"/>
      <c r="G12" s="570"/>
      <c r="H12" s="571"/>
      <c r="I12" s="572">
        <v>2</v>
      </c>
      <c r="J12" s="571">
        <v>37789300</v>
      </c>
      <c r="K12" s="573">
        <v>0</v>
      </c>
      <c r="L12" s="573">
        <v>0</v>
      </c>
      <c r="M12" s="573">
        <v>1</v>
      </c>
      <c r="N12" s="573">
        <v>4800000</v>
      </c>
      <c r="O12" s="573">
        <v>0</v>
      </c>
      <c r="P12" s="573">
        <v>0</v>
      </c>
      <c r="Q12" s="573">
        <v>0</v>
      </c>
      <c r="R12" s="573">
        <v>0</v>
      </c>
      <c r="S12" s="571">
        <f t="shared" ref="S12:T15" si="0">K12+M12+O12+Q12</f>
        <v>1</v>
      </c>
      <c r="T12" s="571">
        <f t="shared" si="0"/>
        <v>4800000</v>
      </c>
      <c r="U12" s="574">
        <f>IFERROR(S12/I12,0)</f>
        <v>0.5</v>
      </c>
      <c r="V12" s="574">
        <f>IFERROR(T12/J12,0)</f>
        <v>0.12702008240427845</v>
      </c>
      <c r="W12" s="570"/>
      <c r="X12" s="571"/>
      <c r="Y12" s="575"/>
      <c r="Z12" s="576"/>
      <c r="AA12" s="577" t="s">
        <v>0</v>
      </c>
      <c r="AB12" s="578"/>
      <c r="AC12" s="579"/>
      <c r="AD12" s="579"/>
      <c r="AE12" s="579"/>
      <c r="AF12" s="579"/>
      <c r="AG12" s="579"/>
      <c r="AH12" s="579"/>
    </row>
    <row r="13" spans="1:34" s="580" customFormat="1" ht="48.75" customHeight="1">
      <c r="A13" s="567"/>
      <c r="B13" s="568"/>
      <c r="C13" s="569" t="s">
        <v>83</v>
      </c>
      <c r="D13" s="569" t="s">
        <v>354</v>
      </c>
      <c r="E13" s="570"/>
      <c r="F13" s="571"/>
      <c r="G13" s="570"/>
      <c r="H13" s="571"/>
      <c r="I13" s="572">
        <v>2</v>
      </c>
      <c r="J13" s="571">
        <v>4925200</v>
      </c>
      <c r="K13" s="573">
        <v>0</v>
      </c>
      <c r="L13" s="573">
        <v>0</v>
      </c>
      <c r="M13" s="573">
        <v>0</v>
      </c>
      <c r="N13" s="573">
        <v>0</v>
      </c>
      <c r="O13" s="573">
        <v>0</v>
      </c>
      <c r="P13" s="573">
        <v>0</v>
      </c>
      <c r="Q13" s="573">
        <v>0</v>
      </c>
      <c r="R13" s="573">
        <v>0</v>
      </c>
      <c r="S13" s="571">
        <f t="shared" si="0"/>
        <v>0</v>
      </c>
      <c r="T13" s="571">
        <f t="shared" si="0"/>
        <v>0</v>
      </c>
      <c r="U13" s="574">
        <f t="shared" ref="U13:V15" si="1">IFERROR(S13/I13,0)</f>
        <v>0</v>
      </c>
      <c r="V13" s="574">
        <f t="shared" si="1"/>
        <v>0</v>
      </c>
      <c r="W13" s="570"/>
      <c r="X13" s="571"/>
      <c r="Y13" s="575"/>
      <c r="Z13" s="576"/>
      <c r="AA13" s="577" t="s">
        <v>0</v>
      </c>
      <c r="AB13" s="578"/>
      <c r="AC13" s="579"/>
      <c r="AD13" s="579"/>
      <c r="AE13" s="579"/>
      <c r="AF13" s="579"/>
      <c r="AG13" s="579"/>
      <c r="AH13" s="579"/>
    </row>
    <row r="14" spans="1:34" s="598" customFormat="1" ht="36.950000000000003" customHeight="1">
      <c r="A14" s="585"/>
      <c r="B14" s="586"/>
      <c r="C14" s="587" t="s">
        <v>84</v>
      </c>
      <c r="D14" s="587" t="s">
        <v>355</v>
      </c>
      <c r="E14" s="588"/>
      <c r="F14" s="589"/>
      <c r="G14" s="588"/>
      <c r="H14" s="589"/>
      <c r="I14" s="590">
        <v>2</v>
      </c>
      <c r="J14" s="589">
        <v>4354340</v>
      </c>
      <c r="K14" s="591">
        <v>1</v>
      </c>
      <c r="L14" s="591">
        <v>0</v>
      </c>
      <c r="M14" s="591">
        <v>0</v>
      </c>
      <c r="N14" s="591">
        <v>1086400</v>
      </c>
      <c r="O14" s="591">
        <v>0</v>
      </c>
      <c r="P14" s="591">
        <v>0</v>
      </c>
      <c r="Q14" s="591">
        <v>0</v>
      </c>
      <c r="R14" s="591">
        <v>0</v>
      </c>
      <c r="S14" s="589">
        <f t="shared" si="0"/>
        <v>1</v>
      </c>
      <c r="T14" s="589">
        <f t="shared" si="0"/>
        <v>1086400</v>
      </c>
      <c r="U14" s="592">
        <f>IFERROR(S14/I14,0)</f>
        <v>0.5</v>
      </c>
      <c r="V14" s="592">
        <f t="shared" si="1"/>
        <v>0.24949820179407212</v>
      </c>
      <c r="W14" s="588"/>
      <c r="X14" s="589"/>
      <c r="Y14" s="593"/>
      <c r="Z14" s="594"/>
      <c r="AA14" s="595" t="s">
        <v>0</v>
      </c>
      <c r="AB14" s="596"/>
      <c r="AC14" s="597"/>
      <c r="AD14" s="597"/>
      <c r="AE14" s="597"/>
      <c r="AF14" s="597"/>
      <c r="AG14" s="597"/>
      <c r="AH14" s="597"/>
    </row>
    <row r="15" spans="1:34" s="598" customFormat="1" ht="49.5" customHeight="1">
      <c r="A15" s="585"/>
      <c r="B15" s="586"/>
      <c r="C15" s="587" t="s">
        <v>86</v>
      </c>
      <c r="D15" s="587" t="s">
        <v>356</v>
      </c>
      <c r="E15" s="588"/>
      <c r="F15" s="589"/>
      <c r="G15" s="588"/>
      <c r="H15" s="589"/>
      <c r="I15" s="590">
        <v>10</v>
      </c>
      <c r="J15" s="589">
        <v>30963080</v>
      </c>
      <c r="K15" s="591">
        <v>4</v>
      </c>
      <c r="L15" s="591">
        <v>0</v>
      </c>
      <c r="M15" s="591">
        <v>2</v>
      </c>
      <c r="N15" s="591">
        <v>5007200</v>
      </c>
      <c r="O15" s="591">
        <v>0</v>
      </c>
      <c r="P15" s="591">
        <v>0</v>
      </c>
      <c r="Q15" s="591">
        <v>0</v>
      </c>
      <c r="R15" s="591">
        <v>0</v>
      </c>
      <c r="S15" s="589">
        <f t="shared" si="0"/>
        <v>6</v>
      </c>
      <c r="T15" s="589">
        <f t="shared" si="0"/>
        <v>5007200</v>
      </c>
      <c r="U15" s="592">
        <f>IFERROR(S15/I15,0)</f>
        <v>0.6</v>
      </c>
      <c r="V15" s="592">
        <f t="shared" si="1"/>
        <v>0.16171517820578574</v>
      </c>
      <c r="W15" s="588"/>
      <c r="X15" s="589"/>
      <c r="Y15" s="593"/>
      <c r="Z15" s="594"/>
      <c r="AA15" s="595" t="s">
        <v>0</v>
      </c>
      <c r="AB15" s="596"/>
      <c r="AC15" s="597"/>
      <c r="AD15" s="597"/>
      <c r="AE15" s="597"/>
      <c r="AF15" s="597"/>
      <c r="AG15" s="597"/>
      <c r="AH15" s="597"/>
    </row>
    <row r="16" spans="1:34">
      <c r="A16" s="167"/>
      <c r="B16" s="173"/>
      <c r="C16" s="191"/>
      <c r="D16" s="175"/>
      <c r="E16" s="176"/>
      <c r="F16" s="177"/>
      <c r="G16" s="176"/>
      <c r="H16" s="177"/>
      <c r="I16" s="178"/>
      <c r="J16" s="179">
        <f>SUM(J12:J15)</f>
        <v>78031920</v>
      </c>
      <c r="K16" s="745" t="s">
        <v>357</v>
      </c>
      <c r="L16" s="746"/>
      <c r="M16" s="746"/>
      <c r="N16" s="746"/>
      <c r="O16" s="746"/>
      <c r="P16" s="746"/>
      <c r="Q16" s="746"/>
      <c r="R16" s="746"/>
      <c r="S16" s="746"/>
      <c r="T16" s="746"/>
      <c r="U16" s="181">
        <f>IFERROR((0+U12*J12+U13*J13+U14*J14+U15*J15)/J16,0)</f>
        <v>0.50812113811886217</v>
      </c>
      <c r="V16" s="181">
        <f>IFERROR((0+V12*J12+V13*J13+V14*J14+V15*J15)/J16,0)</f>
        <v>0.13960440804224733</v>
      </c>
      <c r="W16" s="176"/>
      <c r="X16" s="177"/>
      <c r="Y16" s="182"/>
      <c r="Z16" s="183"/>
      <c r="AA16" s="172"/>
      <c r="AB16" s="172"/>
      <c r="AE16" s="192">
        <f>J16</f>
        <v>78031920</v>
      </c>
      <c r="AF16" s="193">
        <f>J16*U16</f>
        <v>39649668</v>
      </c>
      <c r="AG16" s="193">
        <f>J16*V16</f>
        <v>10893600</v>
      </c>
    </row>
    <row r="17" spans="1:34" ht="29.25" customHeight="1">
      <c r="A17" s="167"/>
      <c r="B17" s="173"/>
      <c r="C17" s="191"/>
      <c r="D17" s="175"/>
      <c r="E17" s="176"/>
      <c r="F17" s="177"/>
      <c r="G17" s="176"/>
      <c r="H17" s="177"/>
      <c r="I17" s="178"/>
      <c r="J17" s="179"/>
      <c r="K17" s="745" t="s">
        <v>358</v>
      </c>
      <c r="L17" s="746"/>
      <c r="M17" s="746"/>
      <c r="N17" s="746"/>
      <c r="O17" s="746"/>
      <c r="P17" s="746"/>
      <c r="Q17" s="746"/>
      <c r="R17" s="746"/>
      <c r="S17" s="746"/>
      <c r="T17" s="746"/>
      <c r="U17" s="181" t="str">
        <f>IF(U16&gt;0.9,"Sangat Tinggi",IF(U16&gt;0.75,"Tinggi",IF(U16&gt;0.65,"Sedang",IF(U16&gt;0.5,"Rendah","Sangat Rendah"))))</f>
        <v>Rendah</v>
      </c>
      <c r="V17" s="181" t="str">
        <f>IF(V16&gt;0.9,"Sangat Tinggi",IF(V16&gt;0.75,"Tinggi",IF(V16&gt;0.65,"Sedang",IF(V16&gt;0.5,"Rendah","Sangat Rendah"))))</f>
        <v>Sangat Rendah</v>
      </c>
      <c r="W17" s="176"/>
      <c r="X17" s="177"/>
      <c r="Y17" s="182"/>
      <c r="Z17" s="183"/>
      <c r="AA17" s="172"/>
      <c r="AB17" s="172"/>
    </row>
    <row r="18" spans="1:34" ht="52.5" customHeight="1">
      <c r="A18" s="167"/>
      <c r="B18" s="173"/>
      <c r="C18" s="184" t="s">
        <v>246</v>
      </c>
      <c r="D18" s="184" t="s">
        <v>359</v>
      </c>
      <c r="E18" s="185"/>
      <c r="F18" s="186">
        <v>0</v>
      </c>
      <c r="G18" s="185"/>
      <c r="H18" s="186"/>
      <c r="I18" s="187"/>
      <c r="J18" s="188"/>
      <c r="K18" s="189"/>
      <c r="L18" s="189"/>
      <c r="M18" s="189"/>
      <c r="N18" s="189"/>
      <c r="O18" s="189"/>
      <c r="P18" s="189"/>
      <c r="Q18" s="189"/>
      <c r="R18" s="189"/>
      <c r="S18" s="188"/>
      <c r="T18" s="188">
        <f>SUM(T19:T20)</f>
        <v>754108235</v>
      </c>
      <c r="U18" s="190" t="e">
        <f>S18/I18</f>
        <v>#DIV/0!</v>
      </c>
      <c r="V18" s="190" t="e">
        <f>T18/J18</f>
        <v>#DIV/0!</v>
      </c>
      <c r="W18" s="176">
        <f>S18+G18</f>
        <v>0</v>
      </c>
      <c r="X18" s="177">
        <f>T18+H18</f>
        <v>754108235</v>
      </c>
      <c r="Y18" s="182" t="e">
        <f>W18/E18</f>
        <v>#DIV/0!</v>
      </c>
      <c r="Z18" s="183" t="e">
        <f>X18/F18</f>
        <v>#DIV/0!</v>
      </c>
      <c r="AA18" s="172"/>
      <c r="AB18" s="172"/>
    </row>
    <row r="19" spans="1:34" s="598" customFormat="1" ht="37.5" customHeight="1">
      <c r="A19" s="585"/>
      <c r="B19" s="586"/>
      <c r="C19" s="587" t="s">
        <v>90</v>
      </c>
      <c r="D19" s="587" t="s">
        <v>360</v>
      </c>
      <c r="E19" s="588"/>
      <c r="F19" s="589"/>
      <c r="G19" s="588"/>
      <c r="H19" s="589"/>
      <c r="I19" s="590">
        <v>16</v>
      </c>
      <c r="J19" s="589">
        <v>2067096135</v>
      </c>
      <c r="K19" s="591">
        <v>12</v>
      </c>
      <c r="L19" s="591">
        <v>185130157</v>
      </c>
      <c r="M19" s="591">
        <v>12</v>
      </c>
      <c r="N19" s="591">
        <v>553656878</v>
      </c>
      <c r="O19" s="591">
        <v>0</v>
      </c>
      <c r="P19" s="591">
        <v>0</v>
      </c>
      <c r="Q19" s="591">
        <v>0</v>
      </c>
      <c r="R19" s="591">
        <v>0</v>
      </c>
      <c r="S19" s="589">
        <v>12</v>
      </c>
      <c r="T19" s="589">
        <f>L19+N19+P19+R19</f>
        <v>738787035</v>
      </c>
      <c r="U19" s="592">
        <f>IFERROR(S19/I19,0)/2</f>
        <v>0.375</v>
      </c>
      <c r="V19" s="592">
        <f>IFERROR(T19/J19,0)</f>
        <v>0.35740332657532642</v>
      </c>
      <c r="W19" s="588"/>
      <c r="X19" s="589"/>
      <c r="Y19" s="593"/>
      <c r="Z19" s="594"/>
      <c r="AA19" s="595" t="s">
        <v>0</v>
      </c>
      <c r="AB19" s="596"/>
      <c r="AC19" s="597"/>
      <c r="AD19" s="597"/>
      <c r="AE19" s="597"/>
      <c r="AF19" s="597"/>
      <c r="AG19" s="597"/>
      <c r="AH19" s="597"/>
    </row>
    <row r="20" spans="1:34" s="598" customFormat="1" ht="54.95" customHeight="1">
      <c r="A20" s="585"/>
      <c r="B20" s="586"/>
      <c r="C20" s="587" t="s">
        <v>104</v>
      </c>
      <c r="D20" s="587" t="s">
        <v>361</v>
      </c>
      <c r="E20" s="588"/>
      <c r="F20" s="589"/>
      <c r="G20" s="588"/>
      <c r="H20" s="589"/>
      <c r="I20" s="590">
        <v>18</v>
      </c>
      <c r="J20" s="589">
        <v>40244200</v>
      </c>
      <c r="K20" s="591">
        <v>5</v>
      </c>
      <c r="L20" s="591">
        <v>2000000</v>
      </c>
      <c r="M20" s="591">
        <v>5</v>
      </c>
      <c r="N20" s="591">
        <v>13321200</v>
      </c>
      <c r="O20" s="591">
        <v>0</v>
      </c>
      <c r="P20" s="591">
        <v>0</v>
      </c>
      <c r="Q20" s="591">
        <v>0</v>
      </c>
      <c r="R20" s="591">
        <v>0</v>
      </c>
      <c r="S20" s="589">
        <f>K20+M20+O20+Q20</f>
        <v>10</v>
      </c>
      <c r="T20" s="589">
        <f>L20+N20+P20+R20</f>
        <v>15321200</v>
      </c>
      <c r="U20" s="592">
        <f>IFERROR(S20/I20,0)</f>
        <v>0.55555555555555558</v>
      </c>
      <c r="V20" s="592">
        <f>IFERROR(T20/J20,0)</f>
        <v>0.38070579114505942</v>
      </c>
      <c r="W20" s="588"/>
      <c r="X20" s="589"/>
      <c r="Y20" s="593"/>
      <c r="Z20" s="594"/>
      <c r="AA20" s="595" t="s">
        <v>0</v>
      </c>
      <c r="AB20" s="596"/>
      <c r="AC20" s="597"/>
      <c r="AD20" s="597"/>
      <c r="AE20" s="597"/>
      <c r="AF20" s="597"/>
      <c r="AG20" s="597"/>
      <c r="AH20" s="597"/>
    </row>
    <row r="21" spans="1:34">
      <c r="A21" s="167"/>
      <c r="B21" s="173"/>
      <c r="C21" s="191"/>
      <c r="D21" s="175"/>
      <c r="E21" s="176"/>
      <c r="F21" s="177"/>
      <c r="G21" s="176"/>
      <c r="H21" s="177"/>
      <c r="I21" s="178"/>
      <c r="J21" s="179">
        <f>SUM(J19:J20)</f>
        <v>2107340335</v>
      </c>
      <c r="K21" s="745" t="s">
        <v>357</v>
      </c>
      <c r="L21" s="746"/>
      <c r="M21" s="746"/>
      <c r="N21" s="746"/>
      <c r="O21" s="746"/>
      <c r="P21" s="746"/>
      <c r="Q21" s="746"/>
      <c r="R21" s="746"/>
      <c r="S21" s="746"/>
      <c r="T21" s="746"/>
      <c r="U21" s="181">
        <f>IFERROR((0+U19*J19+U20*J20)/J21,0)</f>
        <v>0.37844809700085241</v>
      </c>
      <c r="V21" s="181">
        <f>IFERROR((0+V19*J19+V20*J20)/J21,0)</f>
        <v>0.35784833729763921</v>
      </c>
      <c r="W21" s="176"/>
      <c r="X21" s="177"/>
      <c r="Y21" s="182"/>
      <c r="Z21" s="183"/>
      <c r="AA21" s="172"/>
      <c r="AB21" s="172"/>
      <c r="AE21" s="102">
        <f>J21</f>
        <v>2107340335</v>
      </c>
      <c r="AF21" s="102">
        <f>J21*U21</f>
        <v>797518939.51388884</v>
      </c>
      <c r="AG21" s="102">
        <f>J21*V21</f>
        <v>754108235</v>
      </c>
    </row>
    <row r="22" spans="1:34" ht="24" customHeight="1">
      <c r="A22" s="167"/>
      <c r="B22" s="173"/>
      <c r="C22" s="191"/>
      <c r="D22" s="175"/>
      <c r="E22" s="176"/>
      <c r="F22" s="177"/>
      <c r="G22" s="176"/>
      <c r="H22" s="177"/>
      <c r="I22" s="178"/>
      <c r="J22" s="179"/>
      <c r="K22" s="745" t="s">
        <v>358</v>
      </c>
      <c r="L22" s="746"/>
      <c r="M22" s="746"/>
      <c r="N22" s="746"/>
      <c r="O22" s="746"/>
      <c r="P22" s="746"/>
      <c r="Q22" s="746"/>
      <c r="R22" s="746"/>
      <c r="S22" s="746"/>
      <c r="T22" s="746"/>
      <c r="U22" s="181" t="str">
        <f>IF(U21&gt;0.9,"Sangat Tinggi",IF(U21&gt;0.75,"Tinggi",IF(U21&gt;0.65,"Sedang",IF(U21&gt;0.5,"Rendah","Sangat Rendah"))))</f>
        <v>Sangat Rendah</v>
      </c>
      <c r="V22" s="181" t="str">
        <f>IF(V21&gt;0.9,"Sangat Tinggi",IF(V21&gt;0.75,"Tinggi",IF(V21&gt;0.65,"Sedang",IF(V21&gt;0.5,"Rendah","Sangat Rendah"))))</f>
        <v>Sangat Rendah</v>
      </c>
      <c r="W22" s="176"/>
      <c r="X22" s="177"/>
      <c r="Y22" s="182"/>
      <c r="Z22" s="183"/>
      <c r="AA22" s="172"/>
      <c r="AB22" s="172"/>
    </row>
    <row r="23" spans="1:34" ht="35.1" customHeight="1">
      <c r="A23" s="167"/>
      <c r="B23" s="173"/>
      <c r="C23" s="184" t="s">
        <v>248</v>
      </c>
      <c r="D23" s="184" t="s">
        <v>362</v>
      </c>
      <c r="E23" s="185"/>
      <c r="F23" s="186">
        <v>0</v>
      </c>
      <c r="G23" s="185"/>
      <c r="H23" s="186"/>
      <c r="I23" s="187"/>
      <c r="J23" s="188"/>
      <c r="K23" s="189"/>
      <c r="L23" s="189"/>
      <c r="M23" s="189"/>
      <c r="N23" s="189"/>
      <c r="O23" s="189"/>
      <c r="P23" s="189"/>
      <c r="Q23" s="189"/>
      <c r="R23" s="189"/>
      <c r="S23" s="188"/>
      <c r="T23" s="188">
        <f>SUM(T24)</f>
        <v>6239700</v>
      </c>
      <c r="U23" s="190" t="e">
        <f>S23/I23</f>
        <v>#DIV/0!</v>
      </c>
      <c r="V23" s="190" t="e">
        <f>T23/J23</f>
        <v>#DIV/0!</v>
      </c>
      <c r="W23" s="176">
        <f>S23+G23</f>
        <v>0</v>
      </c>
      <c r="X23" s="177">
        <f>T23+H23</f>
        <v>6239700</v>
      </c>
      <c r="Y23" s="182" t="e">
        <f>W23/E23</f>
        <v>#DIV/0!</v>
      </c>
      <c r="Z23" s="183" t="e">
        <f>X23/F23</f>
        <v>#DIV/0!</v>
      </c>
      <c r="AA23" s="172"/>
      <c r="AB23" s="172"/>
    </row>
    <row r="24" spans="1:34" s="598" customFormat="1" ht="47.1" customHeight="1">
      <c r="A24" s="585"/>
      <c r="B24" s="586"/>
      <c r="C24" s="587" t="s">
        <v>110</v>
      </c>
      <c r="D24" s="587" t="s">
        <v>494</v>
      </c>
      <c r="E24" s="588"/>
      <c r="F24" s="589"/>
      <c r="G24" s="588"/>
      <c r="H24" s="589"/>
      <c r="I24" s="590">
        <v>4</v>
      </c>
      <c r="J24" s="589">
        <v>17949800</v>
      </c>
      <c r="K24" s="591">
        <v>1</v>
      </c>
      <c r="L24" s="591">
        <v>0</v>
      </c>
      <c r="M24" s="591">
        <v>1</v>
      </c>
      <c r="N24" s="591">
        <v>6239700</v>
      </c>
      <c r="O24" s="591">
        <v>0</v>
      </c>
      <c r="P24" s="591">
        <v>0</v>
      </c>
      <c r="Q24" s="591">
        <v>0</v>
      </c>
      <c r="R24" s="591">
        <v>0</v>
      </c>
      <c r="S24" s="589">
        <f>K24+M24+O24+Q24</f>
        <v>2</v>
      </c>
      <c r="T24" s="589">
        <f>L24+N24+P24+R24</f>
        <v>6239700</v>
      </c>
      <c r="U24" s="592">
        <f>IFERROR(S24/I24,0)</f>
        <v>0.5</v>
      </c>
      <c r="V24" s="592">
        <f>IFERROR(T24/J24,0)</f>
        <v>0.34761947208325439</v>
      </c>
      <c r="W24" s="588"/>
      <c r="X24" s="589"/>
      <c r="Y24" s="593"/>
      <c r="Z24" s="594"/>
      <c r="AA24" s="595" t="s">
        <v>0</v>
      </c>
      <c r="AB24" s="596"/>
      <c r="AC24" s="597"/>
      <c r="AD24" s="597"/>
      <c r="AE24" s="597"/>
      <c r="AF24" s="597"/>
      <c r="AG24" s="597"/>
      <c r="AH24" s="597"/>
    </row>
    <row r="25" spans="1:34">
      <c r="A25" s="167"/>
      <c r="B25" s="173"/>
      <c r="C25" s="191"/>
      <c r="D25" s="175"/>
      <c r="E25" s="176"/>
      <c r="F25" s="177"/>
      <c r="G25" s="176"/>
      <c r="H25" s="177"/>
      <c r="I25" s="178"/>
      <c r="J25" s="179">
        <f>SUM(J24:J24)</f>
        <v>17949800</v>
      </c>
      <c r="K25" s="745" t="s">
        <v>357</v>
      </c>
      <c r="L25" s="746"/>
      <c r="M25" s="746"/>
      <c r="N25" s="746"/>
      <c r="O25" s="746"/>
      <c r="P25" s="746"/>
      <c r="Q25" s="746"/>
      <c r="R25" s="746"/>
      <c r="S25" s="746"/>
      <c r="T25" s="746"/>
      <c r="U25" s="181">
        <f>IFERROR((0+U24*J24)/J25,0)</f>
        <v>0.5</v>
      </c>
      <c r="V25" s="181">
        <f>IFERROR((0+V24*J24)/J25,0)</f>
        <v>0.34761947208325439</v>
      </c>
      <c r="W25" s="176"/>
      <c r="X25" s="177"/>
      <c r="Y25" s="182"/>
      <c r="Z25" s="183"/>
      <c r="AA25" s="172"/>
      <c r="AB25" s="172"/>
      <c r="AE25" s="102">
        <f>J25</f>
        <v>17949800</v>
      </c>
      <c r="AF25" s="102">
        <f>J25*U25</f>
        <v>8974900</v>
      </c>
      <c r="AG25" s="102">
        <f>J25*V25</f>
        <v>6239700</v>
      </c>
    </row>
    <row r="26" spans="1:34" ht="25.5">
      <c r="A26" s="167"/>
      <c r="B26" s="173"/>
      <c r="C26" s="191"/>
      <c r="D26" s="175"/>
      <c r="E26" s="176"/>
      <c r="F26" s="177"/>
      <c r="G26" s="176"/>
      <c r="H26" s="177"/>
      <c r="I26" s="178"/>
      <c r="J26" s="179"/>
      <c r="K26" s="745" t="s">
        <v>358</v>
      </c>
      <c r="L26" s="746"/>
      <c r="M26" s="746"/>
      <c r="N26" s="746"/>
      <c r="O26" s="746"/>
      <c r="P26" s="746"/>
      <c r="Q26" s="746"/>
      <c r="R26" s="746"/>
      <c r="S26" s="746"/>
      <c r="T26" s="746"/>
      <c r="U26" s="181" t="str">
        <f>IF(U25&gt;0.9,"Sangat Tinggi",IF(U25&gt;0.75,"Tinggi",IF(U25&gt;0.65,"Sedang",IF(U25&gt;0.5,"Rendah","Sangat Rendah"))))</f>
        <v>Sangat Rendah</v>
      </c>
      <c r="V26" s="181" t="str">
        <f>IF(V25&gt;0.9,"Sangat Tinggi",IF(V25&gt;0.75,"Tinggi",IF(V25&gt;0.65,"Sedang",IF(V25&gt;0.5,"Rendah","Sangat Rendah"))))</f>
        <v>Sangat Rendah</v>
      </c>
      <c r="W26" s="176"/>
      <c r="X26" s="177"/>
      <c r="Y26" s="182"/>
      <c r="Z26" s="183"/>
      <c r="AA26" s="172"/>
      <c r="AB26" s="172"/>
    </row>
    <row r="27" spans="1:34" ht="55.5" customHeight="1">
      <c r="A27" s="167"/>
      <c r="B27" s="173"/>
      <c r="C27" s="184" t="s">
        <v>250</v>
      </c>
      <c r="D27" s="184" t="s">
        <v>363</v>
      </c>
      <c r="E27" s="185"/>
      <c r="F27" s="186">
        <v>0</v>
      </c>
      <c r="G27" s="185"/>
      <c r="H27" s="186"/>
      <c r="I27" s="187"/>
      <c r="J27" s="188"/>
      <c r="K27" s="189"/>
      <c r="L27" s="189"/>
      <c r="M27" s="189"/>
      <c r="N27" s="189"/>
      <c r="O27" s="189"/>
      <c r="P27" s="189"/>
      <c r="Q27" s="189"/>
      <c r="R27" s="189"/>
      <c r="S27" s="188"/>
      <c r="T27" s="188">
        <f>SUM(T28:T28)</f>
        <v>11308686</v>
      </c>
      <c r="U27" s="190" t="e">
        <f>S27/I27</f>
        <v>#DIV/0!</v>
      </c>
      <c r="V27" s="190" t="e">
        <f>T27/J27</f>
        <v>#DIV/0!</v>
      </c>
      <c r="W27" s="176">
        <f>S27+G27</f>
        <v>0</v>
      </c>
      <c r="X27" s="177">
        <f>T27+H27</f>
        <v>11308686</v>
      </c>
      <c r="Y27" s="182" t="e">
        <f>W27/E27</f>
        <v>#DIV/0!</v>
      </c>
      <c r="Z27" s="183" t="e">
        <f>X27/F27</f>
        <v>#DIV/0!</v>
      </c>
      <c r="AA27" s="172"/>
      <c r="AB27" s="172"/>
    </row>
    <row r="28" spans="1:34" s="598" customFormat="1" ht="59.45" customHeight="1">
      <c r="A28" s="585"/>
      <c r="B28" s="586"/>
      <c r="C28" s="587" t="s">
        <v>251</v>
      </c>
      <c r="D28" s="587" t="s">
        <v>364</v>
      </c>
      <c r="E28" s="588"/>
      <c r="F28" s="589"/>
      <c r="G28" s="588"/>
      <c r="H28" s="589"/>
      <c r="I28" s="590">
        <v>10</v>
      </c>
      <c r="J28" s="589">
        <v>35500000</v>
      </c>
      <c r="K28" s="591">
        <v>6</v>
      </c>
      <c r="L28" s="591">
        <v>0</v>
      </c>
      <c r="M28" s="591">
        <v>3</v>
      </c>
      <c r="N28" s="591">
        <v>11308686</v>
      </c>
      <c r="O28" s="591">
        <v>0</v>
      </c>
      <c r="P28" s="591">
        <v>0</v>
      </c>
      <c r="Q28" s="591">
        <v>0</v>
      </c>
      <c r="R28" s="591">
        <v>0</v>
      </c>
      <c r="S28" s="589">
        <f>K28+M28+O28+Q28</f>
        <v>9</v>
      </c>
      <c r="T28" s="589">
        <f>L28+N28+P28+R28</f>
        <v>11308686</v>
      </c>
      <c r="U28" s="592">
        <f>IFERROR(S28/I28,0)</f>
        <v>0.9</v>
      </c>
      <c r="V28" s="592">
        <f>IFERROR(T28/J28,0)</f>
        <v>0.31855453521126759</v>
      </c>
      <c r="W28" s="588"/>
      <c r="X28" s="589"/>
      <c r="Y28" s="593"/>
      <c r="Z28" s="594"/>
      <c r="AA28" s="595" t="s">
        <v>0</v>
      </c>
      <c r="AB28" s="596"/>
      <c r="AC28" s="597"/>
      <c r="AD28" s="597"/>
      <c r="AE28" s="597"/>
      <c r="AF28" s="597"/>
      <c r="AG28" s="597"/>
      <c r="AH28" s="597"/>
    </row>
    <row r="29" spans="1:34">
      <c r="A29" s="167"/>
      <c r="B29" s="173"/>
      <c r="C29" s="191"/>
      <c r="D29" s="175"/>
      <c r="E29" s="176"/>
      <c r="F29" s="177"/>
      <c r="G29" s="176"/>
      <c r="H29" s="177"/>
      <c r="I29" s="178"/>
      <c r="J29" s="179">
        <f>SUM(J28:J28)</f>
        <v>35500000</v>
      </c>
      <c r="K29" s="745" t="s">
        <v>357</v>
      </c>
      <c r="L29" s="746"/>
      <c r="M29" s="746"/>
      <c r="N29" s="746"/>
      <c r="O29" s="746"/>
      <c r="P29" s="746"/>
      <c r="Q29" s="746"/>
      <c r="R29" s="746"/>
      <c r="S29" s="746"/>
      <c r="T29" s="746"/>
      <c r="U29" s="181">
        <f>IFERROR((0+U28*J28)/J29,0)</f>
        <v>0.9</v>
      </c>
      <c r="V29" s="181">
        <f>IFERROR((0+V28*J28)/J29,0)</f>
        <v>0.31855453521126759</v>
      </c>
      <c r="W29" s="176"/>
      <c r="X29" s="177"/>
      <c r="Y29" s="182"/>
      <c r="Z29" s="183"/>
      <c r="AA29" s="172"/>
      <c r="AB29" s="172"/>
      <c r="AE29" s="192">
        <f>J29</f>
        <v>35500000</v>
      </c>
      <c r="AF29" s="193">
        <f>J29*U29</f>
        <v>31950000</v>
      </c>
      <c r="AG29" s="102">
        <f>J29*V29</f>
        <v>11308686</v>
      </c>
    </row>
    <row r="30" spans="1:34" ht="21.75" customHeight="1">
      <c r="A30" s="167"/>
      <c r="B30" s="173"/>
      <c r="C30" s="191"/>
      <c r="D30" s="175"/>
      <c r="E30" s="176"/>
      <c r="F30" s="177"/>
      <c r="G30" s="176"/>
      <c r="H30" s="177"/>
      <c r="I30" s="178"/>
      <c r="J30" s="179"/>
      <c r="K30" s="745" t="s">
        <v>358</v>
      </c>
      <c r="L30" s="746"/>
      <c r="M30" s="746"/>
      <c r="N30" s="746"/>
      <c r="O30" s="746"/>
      <c r="P30" s="746"/>
      <c r="Q30" s="746"/>
      <c r="R30" s="746"/>
      <c r="S30" s="746"/>
      <c r="T30" s="746"/>
      <c r="U30" s="181" t="str">
        <f>IF(U29&gt;0.9,"Sangat Tinggi",IF(U29&gt;0.75,"Tinggi",IF(U29&gt;0.65,"Sedang",IF(U29&gt;0.5,"Rendah","Sangat Rendah"))))</f>
        <v>Tinggi</v>
      </c>
      <c r="V30" s="181" t="str">
        <f>IF(V29&gt;0.9,"Sangat Tinggi",IF(V29&gt;0.75,"Tinggi",IF(V29&gt;0.65,"Sedang",IF(V29&gt;0.5,"Rendah","Sangat Rendah"))))</f>
        <v>Sangat Rendah</v>
      </c>
      <c r="W30" s="176"/>
      <c r="X30" s="177"/>
      <c r="Y30" s="182"/>
      <c r="Z30" s="183"/>
      <c r="AA30" s="172"/>
      <c r="AB30" s="172"/>
    </row>
    <row r="31" spans="1:34" ht="50.1" customHeight="1">
      <c r="A31" s="167"/>
      <c r="B31" s="173"/>
      <c r="C31" s="184" t="s">
        <v>253</v>
      </c>
      <c r="D31" s="184" t="s">
        <v>365</v>
      </c>
      <c r="E31" s="185"/>
      <c r="F31" s="186">
        <v>0</v>
      </c>
      <c r="G31" s="185"/>
      <c r="H31" s="186"/>
      <c r="I31" s="187"/>
      <c r="J31" s="188"/>
      <c r="K31" s="189"/>
      <c r="L31" s="189"/>
      <c r="M31" s="189"/>
      <c r="N31" s="189"/>
      <c r="O31" s="189"/>
      <c r="P31" s="189"/>
      <c r="Q31" s="189"/>
      <c r="R31" s="189"/>
      <c r="S31" s="188"/>
      <c r="T31" s="188">
        <f>SUM(T32:T37)</f>
        <v>166263048</v>
      </c>
      <c r="U31" s="190" t="e">
        <f>S31/I31</f>
        <v>#DIV/0!</v>
      </c>
      <c r="V31" s="190" t="e">
        <f>T31/J31</f>
        <v>#DIV/0!</v>
      </c>
      <c r="W31" s="176">
        <f>S31+G31</f>
        <v>0</v>
      </c>
      <c r="X31" s="177">
        <f>T31+H31</f>
        <v>166263048</v>
      </c>
      <c r="Y31" s="182" t="e">
        <f>W31/E31</f>
        <v>#DIV/0!</v>
      </c>
      <c r="Z31" s="183" t="e">
        <f>X31/F31</f>
        <v>#DIV/0!</v>
      </c>
      <c r="AA31" s="172"/>
      <c r="AB31" s="172"/>
    </row>
    <row r="32" spans="1:34" s="598" customFormat="1" ht="50.1" customHeight="1">
      <c r="A32" s="585"/>
      <c r="B32" s="586"/>
      <c r="C32" s="587" t="s">
        <v>119</v>
      </c>
      <c r="D32" s="599" t="s">
        <v>366</v>
      </c>
      <c r="E32" s="588"/>
      <c r="F32" s="589"/>
      <c r="G32" s="588"/>
      <c r="H32" s="589"/>
      <c r="I32" s="590">
        <v>8</v>
      </c>
      <c r="J32" s="600">
        <v>12625000</v>
      </c>
      <c r="K32" s="601">
        <v>0</v>
      </c>
      <c r="L32" s="591">
        <v>0</v>
      </c>
      <c r="M32" s="591">
        <v>0</v>
      </c>
      <c r="N32" s="591">
        <v>0</v>
      </c>
      <c r="O32" s="591">
        <v>0</v>
      </c>
      <c r="P32" s="591">
        <v>0</v>
      </c>
      <c r="Q32" s="591">
        <v>0</v>
      </c>
      <c r="R32" s="591">
        <v>0</v>
      </c>
      <c r="S32" s="589">
        <f>K32+M32+O32+Q32</f>
        <v>0</v>
      </c>
      <c r="T32" s="589">
        <f t="shared" ref="S32:T37" si="2">L32+N32+P32+R32</f>
        <v>0</v>
      </c>
      <c r="U32" s="592">
        <f>IFERROR(S32/I32,0)</f>
        <v>0</v>
      </c>
      <c r="V32" s="592">
        <f t="shared" ref="V32:V36" si="3">IFERROR(T32/J32,0)</f>
        <v>0</v>
      </c>
      <c r="W32" s="588"/>
      <c r="X32" s="589"/>
      <c r="Y32" s="593"/>
      <c r="Z32" s="594"/>
      <c r="AA32" s="595" t="s">
        <v>0</v>
      </c>
      <c r="AB32" s="596"/>
      <c r="AC32" s="597"/>
      <c r="AD32" s="597"/>
      <c r="AE32" s="597"/>
      <c r="AF32" s="597"/>
      <c r="AG32" s="597"/>
      <c r="AH32" s="597"/>
    </row>
    <row r="33" spans="1:34" s="580" customFormat="1" ht="41.1" customHeight="1">
      <c r="A33" s="567"/>
      <c r="B33" s="568"/>
      <c r="C33" s="569" t="s">
        <v>122</v>
      </c>
      <c r="D33" s="581" t="s">
        <v>367</v>
      </c>
      <c r="E33" s="570"/>
      <c r="F33" s="571"/>
      <c r="G33" s="570"/>
      <c r="H33" s="571"/>
      <c r="I33" s="572">
        <v>20</v>
      </c>
      <c r="J33" s="582">
        <v>25000000</v>
      </c>
      <c r="K33" s="583">
        <v>11</v>
      </c>
      <c r="L33" s="573">
        <v>4250000</v>
      </c>
      <c r="M33" s="573">
        <v>17</v>
      </c>
      <c r="N33" s="573">
        <v>6853000</v>
      </c>
      <c r="O33" s="573">
        <v>0</v>
      </c>
      <c r="P33" s="573">
        <v>0</v>
      </c>
      <c r="Q33" s="573">
        <v>0</v>
      </c>
      <c r="R33" s="573">
        <v>0</v>
      </c>
      <c r="S33" s="571">
        <f>K33+M33+O33+Q33</f>
        <v>28</v>
      </c>
      <c r="T33" s="571">
        <f t="shared" si="2"/>
        <v>11103000</v>
      </c>
      <c r="U33" s="574">
        <f>IFERROR(S33/I33,0)/4</f>
        <v>0.35</v>
      </c>
      <c r="V33" s="574">
        <f t="shared" si="3"/>
        <v>0.44412000000000001</v>
      </c>
      <c r="W33" s="570"/>
      <c r="X33" s="571"/>
      <c r="Y33" s="575"/>
      <c r="Z33" s="576"/>
      <c r="AA33" s="577" t="s">
        <v>0</v>
      </c>
      <c r="AB33" s="578"/>
      <c r="AC33" s="579"/>
      <c r="AD33" s="579"/>
      <c r="AE33" s="579"/>
      <c r="AF33" s="579"/>
      <c r="AG33" s="579"/>
      <c r="AH33" s="579"/>
    </row>
    <row r="34" spans="1:34" s="580" customFormat="1" ht="35.1" customHeight="1">
      <c r="A34" s="567"/>
      <c r="B34" s="568"/>
      <c r="C34" s="569" t="s">
        <v>127</v>
      </c>
      <c r="D34" s="581" t="s">
        <v>368</v>
      </c>
      <c r="E34" s="570"/>
      <c r="F34" s="571"/>
      <c r="G34" s="570"/>
      <c r="H34" s="571"/>
      <c r="I34" s="572">
        <v>3</v>
      </c>
      <c r="J34" s="582">
        <v>25000000</v>
      </c>
      <c r="K34" s="583">
        <v>3</v>
      </c>
      <c r="L34" s="573">
        <v>0</v>
      </c>
      <c r="M34" s="573">
        <v>3</v>
      </c>
      <c r="N34" s="573">
        <v>1692000</v>
      </c>
      <c r="O34" s="573">
        <v>0</v>
      </c>
      <c r="P34" s="573">
        <v>0</v>
      </c>
      <c r="Q34" s="573">
        <v>0</v>
      </c>
      <c r="R34" s="573">
        <v>0</v>
      </c>
      <c r="S34" s="571">
        <f t="shared" si="2"/>
        <v>6</v>
      </c>
      <c r="T34" s="571">
        <f t="shared" si="2"/>
        <v>1692000</v>
      </c>
      <c r="U34" s="574">
        <f>IFERROR(S34/I34,0)/4</f>
        <v>0.5</v>
      </c>
      <c r="V34" s="574">
        <f t="shared" si="3"/>
        <v>6.7680000000000004E-2</v>
      </c>
      <c r="W34" s="570"/>
      <c r="X34" s="571"/>
      <c r="Y34" s="575"/>
      <c r="Z34" s="576"/>
      <c r="AA34" s="577" t="s">
        <v>0</v>
      </c>
      <c r="AB34" s="578"/>
      <c r="AC34" s="579"/>
      <c r="AD34" s="579"/>
      <c r="AE34" s="579"/>
      <c r="AF34" s="579"/>
      <c r="AG34" s="579"/>
      <c r="AH34" s="579"/>
    </row>
    <row r="35" spans="1:34" s="580" customFormat="1" ht="47.45" customHeight="1">
      <c r="A35" s="567"/>
      <c r="B35" s="568"/>
      <c r="C35" s="569" t="s">
        <v>128</v>
      </c>
      <c r="D35" s="581" t="s">
        <v>369</v>
      </c>
      <c r="E35" s="570"/>
      <c r="F35" s="571"/>
      <c r="G35" s="570"/>
      <c r="H35" s="571"/>
      <c r="I35" s="572">
        <v>60</v>
      </c>
      <c r="J35" s="582">
        <v>6720000</v>
      </c>
      <c r="K35" s="583">
        <v>15</v>
      </c>
      <c r="L35" s="573">
        <v>520000</v>
      </c>
      <c r="M35" s="583">
        <v>15</v>
      </c>
      <c r="N35" s="573">
        <v>1520000</v>
      </c>
      <c r="O35" s="573">
        <v>0</v>
      </c>
      <c r="P35" s="573">
        <v>0</v>
      </c>
      <c r="Q35" s="573">
        <v>0</v>
      </c>
      <c r="R35" s="573">
        <v>0</v>
      </c>
      <c r="S35" s="571">
        <f t="shared" si="2"/>
        <v>30</v>
      </c>
      <c r="T35" s="571">
        <f t="shared" si="2"/>
        <v>2040000</v>
      </c>
      <c r="U35" s="574">
        <f>IFERROR(S35/I35,0)</f>
        <v>0.5</v>
      </c>
      <c r="V35" s="574">
        <f t="shared" si="3"/>
        <v>0.30357142857142855</v>
      </c>
      <c r="W35" s="570"/>
      <c r="X35" s="571"/>
      <c r="Y35" s="575"/>
      <c r="Z35" s="576"/>
      <c r="AA35" s="577" t="s">
        <v>0</v>
      </c>
      <c r="AB35" s="578"/>
      <c r="AC35" s="579"/>
      <c r="AD35" s="579"/>
      <c r="AE35" s="579"/>
      <c r="AF35" s="579"/>
      <c r="AG35" s="579"/>
      <c r="AH35" s="579"/>
    </row>
    <row r="36" spans="1:34" s="580" customFormat="1" ht="30.95" customHeight="1">
      <c r="A36" s="567"/>
      <c r="B36" s="568"/>
      <c r="C36" s="569" t="s">
        <v>131</v>
      </c>
      <c r="D36" s="581" t="s">
        <v>370</v>
      </c>
      <c r="E36" s="570"/>
      <c r="F36" s="571"/>
      <c r="G36" s="570"/>
      <c r="H36" s="571"/>
      <c r="I36" s="572">
        <v>275</v>
      </c>
      <c r="J36" s="582">
        <v>14850000</v>
      </c>
      <c r="K36" s="583">
        <v>60</v>
      </c>
      <c r="L36" s="573">
        <v>200000</v>
      </c>
      <c r="M36" s="573">
        <v>75</v>
      </c>
      <c r="N36" s="573">
        <v>7065000</v>
      </c>
      <c r="O36" s="573">
        <v>0</v>
      </c>
      <c r="P36" s="573">
        <v>0</v>
      </c>
      <c r="Q36" s="573">
        <v>0</v>
      </c>
      <c r="R36" s="573">
        <v>0</v>
      </c>
      <c r="S36" s="571">
        <f t="shared" si="2"/>
        <v>135</v>
      </c>
      <c r="T36" s="571">
        <f t="shared" si="2"/>
        <v>7265000</v>
      </c>
      <c r="U36" s="574">
        <f>IFERROR(S36/I36,0)</f>
        <v>0.49090909090909091</v>
      </c>
      <c r="V36" s="574">
        <f t="shared" si="3"/>
        <v>0.48922558922558923</v>
      </c>
      <c r="W36" s="570"/>
      <c r="X36" s="571"/>
      <c r="Y36" s="575"/>
      <c r="Z36" s="576"/>
      <c r="AA36" s="577" t="s">
        <v>0</v>
      </c>
      <c r="AB36" s="578"/>
      <c r="AC36" s="579"/>
      <c r="AD36" s="579"/>
      <c r="AE36" s="579"/>
      <c r="AF36" s="579"/>
      <c r="AG36" s="579"/>
      <c r="AH36" s="579"/>
    </row>
    <row r="37" spans="1:34" s="580" customFormat="1" ht="39.950000000000003" customHeight="1">
      <c r="A37" s="567"/>
      <c r="B37" s="568"/>
      <c r="C37" s="569" t="s">
        <v>135</v>
      </c>
      <c r="D37" s="581" t="s">
        <v>371</v>
      </c>
      <c r="E37" s="570"/>
      <c r="F37" s="571"/>
      <c r="G37" s="570"/>
      <c r="H37" s="571"/>
      <c r="I37" s="572">
        <v>41</v>
      </c>
      <c r="J37" s="582">
        <v>309564800</v>
      </c>
      <c r="K37" s="583">
        <v>18</v>
      </c>
      <c r="L37" s="573">
        <v>83761448</v>
      </c>
      <c r="M37" s="573">
        <v>10</v>
      </c>
      <c r="N37" s="573">
        <v>60401600</v>
      </c>
      <c r="O37" s="573">
        <v>0</v>
      </c>
      <c r="P37" s="573">
        <v>0</v>
      </c>
      <c r="Q37" s="573">
        <v>0</v>
      </c>
      <c r="R37" s="573">
        <v>0</v>
      </c>
      <c r="S37" s="571">
        <f t="shared" si="2"/>
        <v>28</v>
      </c>
      <c r="T37" s="571">
        <f t="shared" si="2"/>
        <v>144163048</v>
      </c>
      <c r="U37" s="574">
        <f>IFERROR(S37/I37,0)</f>
        <v>0.68292682926829273</v>
      </c>
      <c r="V37" s="574">
        <f>IFERROR(T37/J37,0)</f>
        <v>0.46569586723038281</v>
      </c>
      <c r="W37" s="570"/>
      <c r="X37" s="571"/>
      <c r="Y37" s="575"/>
      <c r="Z37" s="576"/>
      <c r="AA37" s="577" t="s">
        <v>0</v>
      </c>
      <c r="AB37" s="578"/>
      <c r="AC37" s="579"/>
      <c r="AD37" s="579"/>
      <c r="AE37" s="579"/>
      <c r="AF37" s="579"/>
      <c r="AG37" s="579"/>
      <c r="AH37" s="579"/>
    </row>
    <row r="38" spans="1:34" ht="17.25" customHeight="1">
      <c r="A38" s="167"/>
      <c r="B38" s="173"/>
      <c r="C38" s="191"/>
      <c r="D38" s="175"/>
      <c r="E38" s="176"/>
      <c r="F38" s="177"/>
      <c r="G38" s="176"/>
      <c r="H38" s="177"/>
      <c r="I38" s="178"/>
      <c r="J38" s="179">
        <f>SUM(J32:J37)</f>
        <v>393759800</v>
      </c>
      <c r="K38" s="745" t="s">
        <v>357</v>
      </c>
      <c r="L38" s="746"/>
      <c r="M38" s="746"/>
      <c r="N38" s="746"/>
      <c r="O38" s="746"/>
      <c r="P38" s="746"/>
      <c r="Q38" s="746"/>
      <c r="R38" s="746"/>
      <c r="S38" s="746"/>
      <c r="T38" s="746"/>
      <c r="U38" s="181">
        <f>IFERROR((0+U32*J32+U33*J33+U34*J34+U35*J35+U36*J36+U37*J37)/J38,0)</f>
        <v>0.61791505206238218</v>
      </c>
      <c r="V38" s="181">
        <f>IFERROR((0+V32*J32+V33*J33+V34*J34+V35*J35+V36*J36+V37*J37)/J38,0)</f>
        <v>0.42224485079482466</v>
      </c>
      <c r="W38" s="176"/>
      <c r="X38" s="177"/>
      <c r="Y38" s="182"/>
      <c r="Z38" s="183"/>
      <c r="AA38" s="172"/>
      <c r="AB38" s="172"/>
      <c r="AE38" s="192">
        <f>J38</f>
        <v>393759800</v>
      </c>
      <c r="AF38" s="102">
        <f>J38*U38</f>
        <v>243310107.3170732</v>
      </c>
      <c r="AG38" s="102">
        <f>J38*V38</f>
        <v>166263048</v>
      </c>
    </row>
    <row r="39" spans="1:34" ht="27" customHeight="1">
      <c r="A39" s="167"/>
      <c r="B39" s="173"/>
      <c r="C39" s="191"/>
      <c r="D39" s="175"/>
      <c r="E39" s="176"/>
      <c r="F39" s="177"/>
      <c r="G39" s="176"/>
      <c r="H39" s="177"/>
      <c r="I39" s="178"/>
      <c r="J39" s="179"/>
      <c r="K39" s="745" t="s">
        <v>358</v>
      </c>
      <c r="L39" s="746"/>
      <c r="M39" s="746"/>
      <c r="N39" s="746"/>
      <c r="O39" s="746"/>
      <c r="P39" s="746"/>
      <c r="Q39" s="746"/>
      <c r="R39" s="746"/>
      <c r="S39" s="746"/>
      <c r="T39" s="746"/>
      <c r="U39" s="181" t="str">
        <f>IF(U38&gt;0.9,"Sangat Tinggi",IF(U38&gt;0.75,"Tinggi",IF(U38&gt;0.65,"Sedang",IF(U38&gt;0.5,"Rendah","Sangat Rendah"))))</f>
        <v>Rendah</v>
      </c>
      <c r="V39" s="181" t="str">
        <f>IF(V38&gt;0.9,"Sangat Tinggi",IF(V38&gt;0.75,"Tinggi",IF(V38&gt;0.65,"Sedang",IF(V38&gt;0.5,"Rendah","Sangat Rendah"))))</f>
        <v>Sangat Rendah</v>
      </c>
      <c r="W39" s="176"/>
      <c r="X39" s="177"/>
      <c r="Y39" s="182"/>
      <c r="Z39" s="183"/>
      <c r="AA39" s="172"/>
      <c r="AB39" s="172"/>
    </row>
    <row r="40" spans="1:34" ht="46.5" customHeight="1">
      <c r="A40" s="167"/>
      <c r="B40" s="173"/>
      <c r="C40" s="184" t="s">
        <v>372</v>
      </c>
      <c r="D40" s="184" t="s">
        <v>373</v>
      </c>
      <c r="E40" s="185"/>
      <c r="F40" s="186">
        <v>0</v>
      </c>
      <c r="G40" s="185"/>
      <c r="H40" s="186"/>
      <c r="I40" s="187"/>
      <c r="J40" s="188"/>
      <c r="K40" s="189"/>
      <c r="L40" s="189"/>
      <c r="M40" s="189"/>
      <c r="N40" s="189"/>
      <c r="O40" s="189"/>
      <c r="P40" s="189"/>
      <c r="Q40" s="189"/>
      <c r="R40" s="189"/>
      <c r="S40" s="188"/>
      <c r="T40" s="188">
        <f>SUM(T41:T44)</f>
        <v>40350000</v>
      </c>
      <c r="U40" s="190" t="e">
        <f>S40/I40</f>
        <v>#DIV/0!</v>
      </c>
      <c r="V40" s="190" t="e">
        <f>T40/J40</f>
        <v>#DIV/0!</v>
      </c>
      <c r="W40" s="176">
        <f>S40+G40</f>
        <v>0</v>
      </c>
      <c r="X40" s="177">
        <f>T40+H40</f>
        <v>40350000</v>
      </c>
      <c r="Y40" s="182" t="e">
        <f>W40/E40</f>
        <v>#DIV/0!</v>
      </c>
      <c r="Z40" s="183" t="e">
        <f>X40/F40</f>
        <v>#DIV/0!</v>
      </c>
      <c r="AA40" s="172"/>
      <c r="AB40" s="172"/>
    </row>
    <row r="41" spans="1:34" s="580" customFormat="1" ht="30" customHeight="1">
      <c r="A41" s="567"/>
      <c r="B41" s="568"/>
      <c r="C41" s="569" t="s">
        <v>138</v>
      </c>
      <c r="D41" s="584" t="s">
        <v>374</v>
      </c>
      <c r="E41" s="570"/>
      <c r="F41" s="571"/>
      <c r="G41" s="570"/>
      <c r="H41" s="571"/>
      <c r="I41" s="572">
        <v>5</v>
      </c>
      <c r="J41" s="582">
        <v>15000000</v>
      </c>
      <c r="K41" s="583">
        <v>0</v>
      </c>
      <c r="L41" s="573">
        <v>0</v>
      </c>
      <c r="M41" s="573">
        <v>4</v>
      </c>
      <c r="N41" s="573">
        <v>7250000</v>
      </c>
      <c r="O41" s="573">
        <v>0</v>
      </c>
      <c r="P41" s="573">
        <v>0</v>
      </c>
      <c r="Q41" s="573">
        <v>0</v>
      </c>
      <c r="R41" s="573">
        <v>0</v>
      </c>
      <c r="S41" s="571">
        <f t="shared" ref="S41:T44" si="4">K41+M41+O41+Q41</f>
        <v>4</v>
      </c>
      <c r="T41" s="571">
        <f t="shared" si="4"/>
        <v>7250000</v>
      </c>
      <c r="U41" s="574">
        <f>IFERROR(S41/I41,0)</f>
        <v>0.8</v>
      </c>
      <c r="V41" s="574">
        <f t="shared" ref="U41:V44" si="5">IFERROR(T41/J41,0)</f>
        <v>0.48333333333333334</v>
      </c>
      <c r="W41" s="570"/>
      <c r="X41" s="571"/>
      <c r="Y41" s="575"/>
      <c r="Z41" s="576"/>
      <c r="AA41" s="577" t="s">
        <v>0</v>
      </c>
      <c r="AB41" s="578"/>
      <c r="AC41" s="579"/>
      <c r="AD41" s="579"/>
      <c r="AE41" s="579"/>
      <c r="AF41" s="579"/>
      <c r="AG41" s="579"/>
      <c r="AH41" s="579"/>
    </row>
    <row r="42" spans="1:34" s="580" customFormat="1" ht="36.6" customHeight="1">
      <c r="A42" s="567"/>
      <c r="B42" s="568"/>
      <c r="C42" s="569" t="s">
        <v>140</v>
      </c>
      <c r="D42" s="581" t="s">
        <v>375</v>
      </c>
      <c r="E42" s="570"/>
      <c r="F42" s="571"/>
      <c r="G42" s="570"/>
      <c r="H42" s="571"/>
      <c r="I42" s="572">
        <v>6</v>
      </c>
      <c r="J42" s="582">
        <v>30000000</v>
      </c>
      <c r="K42" s="583">
        <v>0</v>
      </c>
      <c r="L42" s="573">
        <v>0</v>
      </c>
      <c r="M42" s="573">
        <v>0</v>
      </c>
      <c r="N42" s="573">
        <v>0</v>
      </c>
      <c r="O42" s="573">
        <v>0</v>
      </c>
      <c r="P42" s="573">
        <v>0</v>
      </c>
      <c r="Q42" s="573">
        <v>0</v>
      </c>
      <c r="R42" s="573">
        <v>0</v>
      </c>
      <c r="S42" s="571">
        <f t="shared" si="4"/>
        <v>0</v>
      </c>
      <c r="T42" s="571">
        <f t="shared" si="4"/>
        <v>0</v>
      </c>
      <c r="U42" s="574">
        <f t="shared" si="5"/>
        <v>0</v>
      </c>
      <c r="V42" s="574">
        <f t="shared" si="5"/>
        <v>0</v>
      </c>
      <c r="W42" s="570"/>
      <c r="X42" s="571"/>
      <c r="Y42" s="575"/>
      <c r="Z42" s="576"/>
      <c r="AA42" s="577" t="s">
        <v>0</v>
      </c>
      <c r="AB42" s="578"/>
      <c r="AC42" s="579"/>
      <c r="AD42" s="579"/>
      <c r="AE42" s="579"/>
      <c r="AF42" s="579"/>
      <c r="AG42" s="579"/>
      <c r="AH42" s="579"/>
    </row>
    <row r="43" spans="1:34" s="580" customFormat="1" ht="43.5" customHeight="1">
      <c r="A43" s="567"/>
      <c r="B43" s="568"/>
      <c r="C43" s="569" t="s">
        <v>376</v>
      </c>
      <c r="D43" s="581" t="s">
        <v>377</v>
      </c>
      <c r="E43" s="570"/>
      <c r="F43" s="571"/>
      <c r="G43" s="570"/>
      <c r="H43" s="571"/>
      <c r="I43" s="572">
        <v>1</v>
      </c>
      <c r="J43" s="582">
        <v>85000000</v>
      </c>
      <c r="K43" s="583">
        <v>0</v>
      </c>
      <c r="L43" s="573">
        <v>0</v>
      </c>
      <c r="M43" s="573">
        <v>0</v>
      </c>
      <c r="N43" s="573">
        <v>0</v>
      </c>
      <c r="O43" s="573">
        <v>0</v>
      </c>
      <c r="P43" s="573">
        <v>0</v>
      </c>
      <c r="Q43" s="573">
        <v>0</v>
      </c>
      <c r="R43" s="573">
        <v>0</v>
      </c>
      <c r="S43" s="571">
        <f t="shared" ref="S43" si="6">K43+M43+O43+Q43</f>
        <v>0</v>
      </c>
      <c r="T43" s="571">
        <f t="shared" ref="T43" si="7">L43+N43+P43+R43</f>
        <v>0</v>
      </c>
      <c r="U43" s="574">
        <f>IFERROR(S43/I43,0)/4</f>
        <v>0</v>
      </c>
      <c r="V43" s="574">
        <f t="shared" ref="V43" si="8">IFERROR(T43/J43,0)</f>
        <v>0</v>
      </c>
      <c r="W43" s="570"/>
      <c r="X43" s="571"/>
      <c r="Y43" s="575"/>
      <c r="Z43" s="576"/>
      <c r="AA43" s="577" t="s">
        <v>0</v>
      </c>
      <c r="AB43" s="578"/>
      <c r="AC43" s="579"/>
      <c r="AD43" s="579"/>
      <c r="AE43" s="579"/>
      <c r="AF43" s="579"/>
      <c r="AG43" s="579"/>
      <c r="AH43" s="579"/>
    </row>
    <row r="44" spans="1:34" s="580" customFormat="1" ht="50.45" customHeight="1">
      <c r="A44" s="567"/>
      <c r="B44" s="568"/>
      <c r="C44" s="569" t="s">
        <v>260</v>
      </c>
      <c r="D44" s="581" t="s">
        <v>448</v>
      </c>
      <c r="E44" s="570"/>
      <c r="F44" s="571"/>
      <c r="G44" s="570"/>
      <c r="H44" s="571"/>
      <c r="I44" s="572">
        <v>3</v>
      </c>
      <c r="J44" s="582">
        <v>33500000</v>
      </c>
      <c r="K44" s="583">
        <v>0</v>
      </c>
      <c r="L44" s="573">
        <v>0</v>
      </c>
      <c r="M44" s="573">
        <v>3</v>
      </c>
      <c r="N44" s="573">
        <v>33100000</v>
      </c>
      <c r="O44" s="573">
        <v>0</v>
      </c>
      <c r="P44" s="573">
        <v>0</v>
      </c>
      <c r="Q44" s="573">
        <v>0</v>
      </c>
      <c r="R44" s="573">
        <v>0</v>
      </c>
      <c r="S44" s="571">
        <f t="shared" si="4"/>
        <v>3</v>
      </c>
      <c r="T44" s="571">
        <f t="shared" si="4"/>
        <v>33100000</v>
      </c>
      <c r="U44" s="574">
        <f>IFERROR(S44/I44,0)</f>
        <v>1</v>
      </c>
      <c r="V44" s="574">
        <f t="shared" si="5"/>
        <v>0.9880597014925373</v>
      </c>
      <c r="W44" s="570"/>
      <c r="X44" s="571"/>
      <c r="Y44" s="575"/>
      <c r="Z44" s="576"/>
      <c r="AA44" s="577" t="s">
        <v>0</v>
      </c>
      <c r="AB44" s="578"/>
      <c r="AC44" s="579"/>
      <c r="AD44" s="579"/>
      <c r="AE44" s="579"/>
      <c r="AF44" s="579"/>
      <c r="AG44" s="579"/>
      <c r="AH44" s="579"/>
    </row>
    <row r="45" spans="1:34" ht="14.45" customHeight="1">
      <c r="A45" s="167"/>
      <c r="B45" s="173"/>
      <c r="C45" s="191"/>
      <c r="D45" s="175"/>
      <c r="E45" s="176"/>
      <c r="F45" s="177"/>
      <c r="G45" s="176"/>
      <c r="H45" s="177"/>
      <c r="I45" s="178"/>
      <c r="J45" s="179">
        <f>SUM(J41:J44)</f>
        <v>163500000</v>
      </c>
      <c r="K45" s="745" t="s">
        <v>357</v>
      </c>
      <c r="L45" s="746"/>
      <c r="M45" s="746"/>
      <c r="N45" s="746"/>
      <c r="O45" s="746"/>
      <c r="P45" s="746"/>
      <c r="Q45" s="746"/>
      <c r="R45" s="746"/>
      <c r="S45" s="746"/>
      <c r="T45" s="746"/>
      <c r="U45" s="181">
        <f>IFERROR((0+U41*J41+U42*J42+U43*J43+U44*J44)/J45,0)</f>
        <v>0.27828746177370028</v>
      </c>
      <c r="V45" s="181">
        <f>IFERROR((0+V41*J41+V42*J42+V43*J43+V44*J44)/J45,0)</f>
        <v>0.24678899082568809</v>
      </c>
      <c r="W45" s="176"/>
      <c r="X45" s="177"/>
      <c r="Y45" s="182"/>
      <c r="Z45" s="183"/>
      <c r="AA45" s="172"/>
      <c r="AB45" s="172"/>
      <c r="AE45" s="102">
        <f>J45</f>
        <v>163500000</v>
      </c>
      <c r="AF45" s="102">
        <f>J45*U45</f>
        <v>45500000</v>
      </c>
      <c r="AG45" s="102">
        <f>J45*V45</f>
        <v>40350000</v>
      </c>
    </row>
    <row r="46" spans="1:34" ht="14.45" customHeight="1">
      <c r="A46" s="167"/>
      <c r="B46" s="173"/>
      <c r="C46" s="191"/>
      <c r="D46" s="175"/>
      <c r="E46" s="176"/>
      <c r="F46" s="177"/>
      <c r="G46" s="176"/>
      <c r="H46" s="177"/>
      <c r="I46" s="178"/>
      <c r="J46" s="179"/>
      <c r="K46" s="745" t="s">
        <v>358</v>
      </c>
      <c r="L46" s="746"/>
      <c r="M46" s="746"/>
      <c r="N46" s="746"/>
      <c r="O46" s="746"/>
      <c r="P46" s="746"/>
      <c r="Q46" s="746"/>
      <c r="R46" s="746"/>
      <c r="S46" s="746"/>
      <c r="T46" s="746"/>
      <c r="U46" s="181" t="str">
        <f>IF(U45&gt;0.9,"Sangat Tinggi",IF(U45&gt;0.75,"Tinggi",IF(U45&gt;0.65,"Sedang",IF(U45&gt;0.5,"Rendah","Sangat Rendah"))))</f>
        <v>Sangat Rendah</v>
      </c>
      <c r="V46" s="181" t="str">
        <f>IF(V45&gt;0.9,"Sangat Tinggi",IF(V45&gt;0.75,"Tinggi",IF(V45&gt;0.65,"Sedang",IF(V45&gt;0.5,"Rendah","Sangat Rendah"))))</f>
        <v>Sangat Rendah</v>
      </c>
      <c r="W46" s="176"/>
      <c r="X46" s="177"/>
      <c r="Y46" s="182"/>
      <c r="Z46" s="183"/>
      <c r="AA46" s="172"/>
      <c r="AB46" s="172"/>
    </row>
    <row r="47" spans="1:34" ht="50.45" customHeight="1">
      <c r="A47" s="167"/>
      <c r="B47" s="173"/>
      <c r="C47" s="184" t="s">
        <v>263</v>
      </c>
      <c r="D47" s="184" t="s">
        <v>378</v>
      </c>
      <c r="E47" s="185"/>
      <c r="F47" s="186">
        <v>0</v>
      </c>
      <c r="G47" s="185"/>
      <c r="H47" s="186"/>
      <c r="I47" s="187"/>
      <c r="J47" s="188"/>
      <c r="K47" s="189"/>
      <c r="L47" s="189"/>
      <c r="M47" s="189"/>
      <c r="N47" s="189"/>
      <c r="O47" s="189"/>
      <c r="P47" s="189"/>
      <c r="Q47" s="189"/>
      <c r="R47" s="189"/>
      <c r="S47" s="188"/>
      <c r="T47" s="188">
        <f>SUM(T48:T50)</f>
        <v>26205853</v>
      </c>
      <c r="U47" s="190" t="e">
        <f>S47/I47</f>
        <v>#DIV/0!</v>
      </c>
      <c r="V47" s="190" t="e">
        <f>T47/J47</f>
        <v>#DIV/0!</v>
      </c>
      <c r="W47" s="176">
        <f>S47+G47</f>
        <v>0</v>
      </c>
      <c r="X47" s="177">
        <f>T47+H47</f>
        <v>26205853</v>
      </c>
      <c r="Y47" s="182" t="e">
        <f>W47/E47</f>
        <v>#DIV/0!</v>
      </c>
      <c r="Z47" s="183" t="e">
        <f>X47/F47</f>
        <v>#DIV/0!</v>
      </c>
      <c r="AA47" s="172"/>
      <c r="AB47" s="172"/>
    </row>
    <row r="48" spans="1:34" s="580" customFormat="1" ht="39.75" customHeight="1">
      <c r="A48" s="567"/>
      <c r="B48" s="568"/>
      <c r="C48" s="569" t="s">
        <v>143</v>
      </c>
      <c r="D48" s="584" t="s">
        <v>379</v>
      </c>
      <c r="E48" s="570"/>
      <c r="F48" s="571"/>
      <c r="G48" s="570"/>
      <c r="H48" s="571"/>
      <c r="I48" s="572">
        <v>400</v>
      </c>
      <c r="J48" s="582">
        <v>4182475</v>
      </c>
      <c r="K48" s="583">
        <v>74</v>
      </c>
      <c r="L48" s="573">
        <v>0</v>
      </c>
      <c r="M48" s="573">
        <v>66</v>
      </c>
      <c r="N48" s="573">
        <v>500000</v>
      </c>
      <c r="O48" s="573">
        <v>0</v>
      </c>
      <c r="P48" s="573">
        <v>0</v>
      </c>
      <c r="Q48" s="573">
        <v>0</v>
      </c>
      <c r="R48" s="573">
        <v>0</v>
      </c>
      <c r="S48" s="571">
        <f t="shared" ref="S48:T50" si="9">K48+M48+O48+Q48</f>
        <v>140</v>
      </c>
      <c r="T48" s="571">
        <f t="shared" si="9"/>
        <v>500000</v>
      </c>
      <c r="U48" s="574">
        <f>IFERROR(S48/I48,0)</f>
        <v>0.35</v>
      </c>
      <c r="V48" s="574">
        <f t="shared" ref="V48:V50" si="10">IFERROR(T48/J48,0)</f>
        <v>0.11954644080359117</v>
      </c>
      <c r="W48" s="570"/>
      <c r="X48" s="571"/>
      <c r="Y48" s="575"/>
      <c r="Z48" s="576"/>
      <c r="AA48" s="577" t="s">
        <v>0</v>
      </c>
      <c r="AB48" s="578"/>
      <c r="AC48" s="579"/>
      <c r="AD48" s="579"/>
      <c r="AE48" s="579"/>
      <c r="AF48" s="579"/>
      <c r="AG48" s="579"/>
      <c r="AH48" s="579"/>
    </row>
    <row r="49" spans="1:34" s="580" customFormat="1" ht="41.45" customHeight="1">
      <c r="A49" s="567"/>
      <c r="B49" s="568"/>
      <c r="C49" s="569" t="s">
        <v>265</v>
      </c>
      <c r="D49" s="581" t="s">
        <v>380</v>
      </c>
      <c r="E49" s="570"/>
      <c r="F49" s="571"/>
      <c r="G49" s="570"/>
      <c r="H49" s="571"/>
      <c r="I49" s="572">
        <v>36</v>
      </c>
      <c r="J49" s="582">
        <v>62420688</v>
      </c>
      <c r="K49" s="583">
        <v>9</v>
      </c>
      <c r="L49" s="573">
        <v>8146899</v>
      </c>
      <c r="M49" s="573">
        <v>10</v>
      </c>
      <c r="N49" s="573">
        <v>9708954</v>
      </c>
      <c r="O49" s="573">
        <v>0</v>
      </c>
      <c r="P49" s="573">
        <v>0</v>
      </c>
      <c r="Q49" s="573">
        <v>0</v>
      </c>
      <c r="R49" s="573">
        <v>0</v>
      </c>
      <c r="S49" s="571">
        <f>K49+M49+O49+Q49</f>
        <v>19</v>
      </c>
      <c r="T49" s="571">
        <f t="shared" si="9"/>
        <v>17855853</v>
      </c>
      <c r="U49" s="574">
        <f>IFERROR(S49/I49,0)</f>
        <v>0.52777777777777779</v>
      </c>
      <c r="V49" s="574">
        <f t="shared" si="10"/>
        <v>0.28605665160243027</v>
      </c>
      <c r="W49" s="570"/>
      <c r="X49" s="571"/>
      <c r="Y49" s="575"/>
      <c r="Z49" s="576"/>
      <c r="AA49" s="577" t="s">
        <v>0</v>
      </c>
      <c r="AB49" s="578"/>
      <c r="AC49" s="579"/>
      <c r="AD49" s="579"/>
      <c r="AE49" s="579"/>
      <c r="AF49" s="579"/>
      <c r="AG49" s="579"/>
      <c r="AH49" s="579"/>
    </row>
    <row r="50" spans="1:34" s="580" customFormat="1" ht="41.1" customHeight="1">
      <c r="A50" s="567"/>
      <c r="B50" s="568"/>
      <c r="C50" s="569" t="s">
        <v>155</v>
      </c>
      <c r="D50" s="581" t="s">
        <v>381</v>
      </c>
      <c r="E50" s="570"/>
      <c r="F50" s="571"/>
      <c r="G50" s="570"/>
      <c r="H50" s="571"/>
      <c r="I50" s="572">
        <v>2</v>
      </c>
      <c r="J50" s="582">
        <v>19800000</v>
      </c>
      <c r="K50" s="583">
        <v>1</v>
      </c>
      <c r="L50" s="573">
        <v>2500000</v>
      </c>
      <c r="M50" s="583">
        <v>2</v>
      </c>
      <c r="N50" s="573">
        <v>5350000</v>
      </c>
      <c r="O50" s="573">
        <v>0</v>
      </c>
      <c r="P50" s="573">
        <v>0</v>
      </c>
      <c r="Q50" s="573">
        <v>0</v>
      </c>
      <c r="R50" s="573">
        <v>0</v>
      </c>
      <c r="S50" s="571">
        <v>2</v>
      </c>
      <c r="T50" s="571">
        <f t="shared" si="9"/>
        <v>7850000</v>
      </c>
      <c r="U50" s="574">
        <f>IFERROR(S50/I50,0)/2</f>
        <v>0.5</v>
      </c>
      <c r="V50" s="574">
        <f t="shared" si="10"/>
        <v>0.39646464646464646</v>
      </c>
      <c r="W50" s="570"/>
      <c r="X50" s="571"/>
      <c r="Y50" s="575"/>
      <c r="Z50" s="576"/>
      <c r="AA50" s="577" t="s">
        <v>0</v>
      </c>
      <c r="AB50" s="578"/>
      <c r="AC50" s="579"/>
      <c r="AD50" s="579"/>
      <c r="AE50" s="579"/>
      <c r="AF50" s="579"/>
      <c r="AG50" s="579"/>
      <c r="AH50" s="579"/>
    </row>
    <row r="51" spans="1:34">
      <c r="A51" s="167"/>
      <c r="B51" s="173"/>
      <c r="C51" s="191"/>
      <c r="D51" s="175"/>
      <c r="E51" s="176"/>
      <c r="F51" s="177"/>
      <c r="G51" s="176"/>
      <c r="H51" s="177"/>
      <c r="I51" s="178"/>
      <c r="J51" s="179">
        <f>SUM(J48:J50)</f>
        <v>86403163</v>
      </c>
      <c r="K51" s="745" t="s">
        <v>357</v>
      </c>
      <c r="L51" s="746"/>
      <c r="M51" s="746"/>
      <c r="N51" s="746"/>
      <c r="O51" s="746"/>
      <c r="P51" s="746"/>
      <c r="Q51" s="746"/>
      <c r="R51" s="746"/>
      <c r="S51" s="746"/>
      <c r="T51" s="746"/>
      <c r="U51" s="181">
        <f>IFERROR((0+U48*J48+U49*J49+U50*J50)/J51,0)</f>
        <v>0.51280666947343123</v>
      </c>
      <c r="V51" s="181">
        <f>IFERROR((0+V48*J48+V49*J49+V50*J50)/J51,0)</f>
        <v>0.3032973804442784</v>
      </c>
      <c r="W51" s="176"/>
      <c r="X51" s="177"/>
      <c r="Y51" s="182"/>
      <c r="Z51" s="183"/>
      <c r="AA51" s="172"/>
      <c r="AB51" s="172"/>
      <c r="AE51" s="192">
        <f>J51</f>
        <v>86403163</v>
      </c>
      <c r="AF51" s="193">
        <f>J51*U51</f>
        <v>44308118.25</v>
      </c>
      <c r="AG51" s="102">
        <f>J51*V51</f>
        <v>26205853</v>
      </c>
    </row>
    <row r="52" spans="1:34" ht="25.5">
      <c r="A52" s="167"/>
      <c r="B52" s="173"/>
      <c r="C52" s="191"/>
      <c r="D52" s="175"/>
      <c r="E52" s="176"/>
      <c r="F52" s="177"/>
      <c r="G52" s="176"/>
      <c r="H52" s="177"/>
      <c r="I52" s="178"/>
      <c r="J52" s="179"/>
      <c r="K52" s="745" t="s">
        <v>358</v>
      </c>
      <c r="L52" s="746"/>
      <c r="M52" s="746"/>
      <c r="N52" s="746"/>
      <c r="O52" s="746"/>
      <c r="P52" s="746"/>
      <c r="Q52" s="746"/>
      <c r="R52" s="746"/>
      <c r="S52" s="746"/>
      <c r="T52" s="746"/>
      <c r="U52" s="181" t="str">
        <f>IF(U51&gt;0.9,"Sangat Tinggi",IF(U51&gt;0.75,"Tinggi",IF(U51&gt;0.65,"Sedang",IF(U51&gt;0.5,"Rendah","Sangat Rendah"))))</f>
        <v>Rendah</v>
      </c>
      <c r="V52" s="181" t="str">
        <f>IF(V51&gt;0.9,"Sangat Tinggi",IF(V51&gt;0.75,"Tinggi",IF(V51&gt;0.65,"Sedang",IF(V51&gt;0.5,"Rendah","Sangat Rendah"))))</f>
        <v>Sangat Rendah</v>
      </c>
      <c r="W52" s="176"/>
      <c r="X52" s="177"/>
      <c r="Y52" s="182"/>
      <c r="Z52" s="183"/>
      <c r="AA52" s="172"/>
      <c r="AB52" s="172"/>
    </row>
    <row r="53" spans="1:34" ht="53.25" customHeight="1">
      <c r="A53" s="167"/>
      <c r="B53" s="173"/>
      <c r="C53" s="184" t="s">
        <v>266</v>
      </c>
      <c r="D53" s="184" t="s">
        <v>382</v>
      </c>
      <c r="E53" s="185"/>
      <c r="F53" s="186">
        <v>0</v>
      </c>
      <c r="G53" s="185"/>
      <c r="H53" s="186"/>
      <c r="I53" s="187"/>
      <c r="J53" s="188"/>
      <c r="K53" s="189"/>
      <c r="L53" s="189"/>
      <c r="M53" s="189"/>
      <c r="N53" s="189"/>
      <c r="O53" s="189"/>
      <c r="P53" s="189"/>
      <c r="Q53" s="189"/>
      <c r="R53" s="189"/>
      <c r="S53" s="188"/>
      <c r="T53" s="188">
        <f>SUM(T54:T56)</f>
        <v>52863000</v>
      </c>
      <c r="U53" s="190" t="e">
        <f>S53/I53</f>
        <v>#DIV/0!</v>
      </c>
      <c r="V53" s="190" t="e">
        <f>T53/J53</f>
        <v>#DIV/0!</v>
      </c>
      <c r="W53" s="176">
        <f>S53+G53</f>
        <v>0</v>
      </c>
      <c r="X53" s="177">
        <f>T53+H53</f>
        <v>52863000</v>
      </c>
      <c r="Y53" s="182" t="e">
        <f>W53/E53</f>
        <v>#DIV/0!</v>
      </c>
      <c r="Z53" s="183" t="e">
        <f>X53/F53</f>
        <v>#DIV/0!</v>
      </c>
      <c r="AA53" s="172"/>
      <c r="AB53" s="172"/>
    </row>
    <row r="54" spans="1:34" s="557" customFormat="1" ht="63" customHeight="1">
      <c r="A54" s="543"/>
      <c r="B54" s="544"/>
      <c r="C54" s="545" t="s">
        <v>383</v>
      </c>
      <c r="D54" s="558" t="s">
        <v>384</v>
      </c>
      <c r="E54" s="546"/>
      <c r="F54" s="547"/>
      <c r="G54" s="546"/>
      <c r="H54" s="547"/>
      <c r="I54" s="548">
        <v>13</v>
      </c>
      <c r="J54" s="561">
        <v>93300000</v>
      </c>
      <c r="K54" s="562">
        <v>9</v>
      </c>
      <c r="L54" s="550">
        <v>27880000</v>
      </c>
      <c r="M54" s="562">
        <v>10</v>
      </c>
      <c r="N54" s="550">
        <v>22075000</v>
      </c>
      <c r="O54" s="550">
        <v>0</v>
      </c>
      <c r="P54" s="550">
        <v>0</v>
      </c>
      <c r="Q54" s="550">
        <v>0</v>
      </c>
      <c r="R54" s="550">
        <v>0</v>
      </c>
      <c r="S54" s="549">
        <f>K54+M54+O54+Q54</f>
        <v>19</v>
      </c>
      <c r="T54" s="549">
        <f t="shared" ref="T54:T56" si="11">L54+N54+P54+R54</f>
        <v>49955000</v>
      </c>
      <c r="U54" s="551">
        <f>IFERROR(S54/I54,0)/4</f>
        <v>0.36538461538461536</v>
      </c>
      <c r="V54" s="551">
        <f>IFERROR(T54/J54,0)</f>
        <v>0.53542336548767422</v>
      </c>
      <c r="W54" s="546"/>
      <c r="X54" s="547"/>
      <c r="Y54" s="552"/>
      <c r="Z54" s="553"/>
      <c r="AA54" s="554" t="s">
        <v>0</v>
      </c>
      <c r="AB54" s="555"/>
      <c r="AC54" s="556"/>
      <c r="AD54" s="556"/>
      <c r="AE54" s="556"/>
      <c r="AF54" s="556"/>
      <c r="AG54" s="556"/>
      <c r="AH54" s="556"/>
    </row>
    <row r="55" spans="1:34" s="557" customFormat="1" ht="42" customHeight="1">
      <c r="A55" s="543"/>
      <c r="B55" s="544"/>
      <c r="C55" s="545" t="s">
        <v>164</v>
      </c>
      <c r="D55" s="558" t="s">
        <v>385</v>
      </c>
      <c r="E55" s="546"/>
      <c r="F55" s="547"/>
      <c r="G55" s="546"/>
      <c r="H55" s="547"/>
      <c r="I55" s="548">
        <v>25</v>
      </c>
      <c r="J55" s="563">
        <v>19540000</v>
      </c>
      <c r="K55" s="562">
        <v>12</v>
      </c>
      <c r="L55" s="550">
        <v>0</v>
      </c>
      <c r="M55" s="550">
        <v>0</v>
      </c>
      <c r="N55" s="550">
        <v>1890000</v>
      </c>
      <c r="O55" s="550">
        <v>0</v>
      </c>
      <c r="P55" s="550">
        <v>0</v>
      </c>
      <c r="Q55" s="550">
        <v>0</v>
      </c>
      <c r="R55" s="550">
        <v>0</v>
      </c>
      <c r="S55" s="549">
        <f>K55+M55+O55+Q55</f>
        <v>12</v>
      </c>
      <c r="T55" s="549">
        <f t="shared" si="11"/>
        <v>1890000</v>
      </c>
      <c r="U55" s="551">
        <f>IFERROR(S55/I55,0)</f>
        <v>0.48</v>
      </c>
      <c r="V55" s="551">
        <f t="shared" ref="V55:V56" si="12">IFERROR(T55/J55,0)</f>
        <v>9.672466734902764E-2</v>
      </c>
      <c r="W55" s="546"/>
      <c r="X55" s="547"/>
      <c r="Y55" s="552"/>
      <c r="Z55" s="553"/>
      <c r="AA55" s="554" t="s">
        <v>0</v>
      </c>
      <c r="AB55" s="555"/>
      <c r="AC55" s="556"/>
      <c r="AD55" s="556"/>
      <c r="AE55" s="556"/>
      <c r="AF55" s="556"/>
      <c r="AG55" s="556"/>
      <c r="AH55" s="556"/>
    </row>
    <row r="56" spans="1:34" s="557" customFormat="1" ht="57.6" customHeight="1">
      <c r="A56" s="543"/>
      <c r="B56" s="544"/>
      <c r="C56" s="545" t="s">
        <v>173</v>
      </c>
      <c r="D56" s="564" t="s">
        <v>386</v>
      </c>
      <c r="E56" s="546"/>
      <c r="F56" s="547"/>
      <c r="G56" s="546"/>
      <c r="H56" s="547"/>
      <c r="I56" s="548">
        <v>1</v>
      </c>
      <c r="J56" s="565">
        <v>10000000</v>
      </c>
      <c r="K56" s="562">
        <v>0</v>
      </c>
      <c r="L56" s="550">
        <v>0</v>
      </c>
      <c r="M56" s="550">
        <v>1</v>
      </c>
      <c r="N56" s="550">
        <v>1018000</v>
      </c>
      <c r="O56" s="550">
        <v>0</v>
      </c>
      <c r="P56" s="550">
        <v>0</v>
      </c>
      <c r="Q56" s="550">
        <v>0</v>
      </c>
      <c r="R56" s="550">
        <v>0</v>
      </c>
      <c r="S56" s="549">
        <f>K56+M56+O56+Q56</f>
        <v>1</v>
      </c>
      <c r="T56" s="549">
        <f t="shared" si="11"/>
        <v>1018000</v>
      </c>
      <c r="U56" s="551">
        <f>IFERROR(S56/I56,0)/2</f>
        <v>0.5</v>
      </c>
      <c r="V56" s="551">
        <f t="shared" si="12"/>
        <v>0.1018</v>
      </c>
      <c r="W56" s="546"/>
      <c r="X56" s="547"/>
      <c r="Y56" s="552"/>
      <c r="Z56" s="553"/>
      <c r="AA56" s="554" t="s">
        <v>0</v>
      </c>
      <c r="AB56" s="555"/>
      <c r="AC56" s="556"/>
      <c r="AD56" s="556"/>
      <c r="AE56" s="556"/>
      <c r="AF56" s="556"/>
      <c r="AG56" s="556"/>
      <c r="AH56" s="556"/>
    </row>
    <row r="57" spans="1:34">
      <c r="A57" s="167"/>
      <c r="B57" s="173"/>
      <c r="C57" s="191"/>
      <c r="D57" s="175"/>
      <c r="E57" s="176"/>
      <c r="F57" s="177"/>
      <c r="G57" s="176"/>
      <c r="H57" s="177"/>
      <c r="I57" s="178"/>
      <c r="J57" s="179">
        <f>SUM(J54:J56)</f>
        <v>122840000</v>
      </c>
      <c r="K57" s="745" t="s">
        <v>357</v>
      </c>
      <c r="L57" s="746"/>
      <c r="M57" s="746"/>
      <c r="N57" s="746"/>
      <c r="O57" s="746"/>
      <c r="P57" s="746"/>
      <c r="Q57" s="746"/>
      <c r="R57" s="746"/>
      <c r="S57" s="746"/>
      <c r="T57" s="746"/>
      <c r="U57" s="181">
        <f>IFERROR((0+U54*J54+U55*J55+U56*J56)/J57,0)</f>
        <v>0.39457493174360647</v>
      </c>
      <c r="V57" s="181">
        <f>IFERROR((0+V54*J54+V55*J55+V56*J56)/J57,0)</f>
        <v>0.43034028003907526</v>
      </c>
      <c r="W57" s="176"/>
      <c r="X57" s="177"/>
      <c r="Y57" s="182"/>
      <c r="Z57" s="183"/>
      <c r="AA57" s="172"/>
      <c r="AB57" s="172"/>
      <c r="AE57" s="192">
        <f>J57</f>
        <v>122840000</v>
      </c>
      <c r="AF57" s="193">
        <f>J57*U57</f>
        <v>48469584.615384616</v>
      </c>
      <c r="AG57" s="102">
        <f>J57*V57</f>
        <v>52863000.000000007</v>
      </c>
    </row>
    <row r="58" spans="1:34" ht="25.5">
      <c r="A58" s="167"/>
      <c r="B58" s="173"/>
      <c r="C58" s="191"/>
      <c r="D58" s="175"/>
      <c r="E58" s="176"/>
      <c r="F58" s="177"/>
      <c r="G58" s="176"/>
      <c r="H58" s="177"/>
      <c r="I58" s="178"/>
      <c r="J58" s="179"/>
      <c r="K58" s="745" t="s">
        <v>358</v>
      </c>
      <c r="L58" s="746"/>
      <c r="M58" s="746"/>
      <c r="N58" s="746"/>
      <c r="O58" s="746"/>
      <c r="P58" s="746"/>
      <c r="Q58" s="746"/>
      <c r="R58" s="746"/>
      <c r="S58" s="746"/>
      <c r="T58" s="746"/>
      <c r="U58" s="181" t="str">
        <f>IF(U57&gt;0.9,"Sangat Tinggi",IF(U57&gt;0.75,"Tinggi",IF(U57&gt;0.65,"Sedang",IF(U57&gt;0.5,"Rendah","Sangat Rendah"))))</f>
        <v>Sangat Rendah</v>
      </c>
      <c r="V58" s="181" t="str">
        <f>IF(V57&gt;0.9,"Sangat Tinggi",IF(V57&gt;0.75,"Tinggi",IF(V57&gt;0.65,"Sedang",IF(V57&gt;0.5,"Rendah","Sangat Rendah"))))</f>
        <v>Sangat Rendah</v>
      </c>
      <c r="W58" s="176"/>
      <c r="X58" s="177"/>
      <c r="Y58" s="182"/>
      <c r="Z58" s="183"/>
      <c r="AA58" s="172"/>
      <c r="AB58" s="172"/>
    </row>
    <row r="59" spans="1:34">
      <c r="A59" s="167"/>
      <c r="B59" s="173"/>
      <c r="C59" s="752" t="s">
        <v>387</v>
      </c>
      <c r="D59" s="753"/>
      <c r="E59" s="754"/>
      <c r="F59" s="755"/>
      <c r="G59" s="754"/>
      <c r="H59" s="755"/>
      <c r="I59" s="756"/>
      <c r="J59" s="746"/>
      <c r="K59" s="757"/>
      <c r="L59" s="757"/>
      <c r="M59" s="757"/>
      <c r="N59" s="757"/>
      <c r="O59" s="757"/>
      <c r="P59" s="757"/>
      <c r="Q59" s="757"/>
      <c r="R59" s="757"/>
      <c r="S59" s="746"/>
      <c r="T59" s="746"/>
      <c r="U59" s="181"/>
      <c r="V59" s="181"/>
      <c r="W59" s="176"/>
      <c r="X59" s="177"/>
      <c r="Y59" s="182"/>
      <c r="Z59" s="183"/>
      <c r="AA59" s="172"/>
      <c r="AB59" s="172"/>
    </row>
    <row r="60" spans="1:34" ht="38.25">
      <c r="A60" s="167"/>
      <c r="B60" s="173"/>
      <c r="C60" s="184" t="s">
        <v>175</v>
      </c>
      <c r="D60" s="175"/>
      <c r="E60" s="176"/>
      <c r="F60" s="177"/>
      <c r="G60" s="176"/>
      <c r="H60" s="177"/>
      <c r="I60" s="178"/>
      <c r="J60" s="179"/>
      <c r="K60" s="180"/>
      <c r="L60" s="180"/>
      <c r="M60" s="180"/>
      <c r="N60" s="180"/>
      <c r="O60" s="180"/>
      <c r="P60" s="180"/>
      <c r="Q60" s="180"/>
      <c r="R60" s="180"/>
      <c r="S60" s="179"/>
      <c r="T60" s="179"/>
      <c r="U60" s="181"/>
      <c r="V60" s="181"/>
      <c r="W60" s="176"/>
      <c r="X60" s="177"/>
      <c r="Y60" s="182"/>
      <c r="Z60" s="183"/>
      <c r="AA60" s="172"/>
      <c r="AB60" s="172"/>
    </row>
    <row r="61" spans="1:34" ht="48" customHeight="1">
      <c r="A61" s="167"/>
      <c r="B61" s="173"/>
      <c r="C61" s="184" t="s">
        <v>269</v>
      </c>
      <c r="D61" s="184" t="s">
        <v>388</v>
      </c>
      <c r="E61" s="185"/>
      <c r="F61" s="186">
        <v>0</v>
      </c>
      <c r="G61" s="185"/>
      <c r="H61" s="186"/>
      <c r="I61" s="187"/>
      <c r="J61" s="188"/>
      <c r="K61" s="189"/>
      <c r="L61" s="189"/>
      <c r="M61" s="189"/>
      <c r="N61" s="189"/>
      <c r="O61" s="189"/>
      <c r="P61" s="189"/>
      <c r="Q61" s="189"/>
      <c r="R61" s="189"/>
      <c r="S61" s="188"/>
      <c r="T61" s="188">
        <f>SUM(T62)</f>
        <v>4060000</v>
      </c>
      <c r="U61" s="190" t="e">
        <f>S61/I61</f>
        <v>#DIV/0!</v>
      </c>
      <c r="V61" s="190" t="e">
        <f>T61/J61</f>
        <v>#DIV/0!</v>
      </c>
      <c r="W61" s="176">
        <f>S61+G61</f>
        <v>0</v>
      </c>
      <c r="X61" s="177">
        <f>T61+H61</f>
        <v>4060000</v>
      </c>
      <c r="Y61" s="182" t="e">
        <f>W61/E61</f>
        <v>#DIV/0!</v>
      </c>
      <c r="Z61" s="183" t="e">
        <f>X61/F61</f>
        <v>#DIV/0!</v>
      </c>
      <c r="AA61" s="172"/>
      <c r="AB61" s="172"/>
    </row>
    <row r="62" spans="1:34" s="557" customFormat="1" ht="51.95" customHeight="1">
      <c r="A62" s="543"/>
      <c r="B62" s="544"/>
      <c r="C62" s="545" t="s">
        <v>12</v>
      </c>
      <c r="D62" s="545" t="s">
        <v>270</v>
      </c>
      <c r="E62" s="546"/>
      <c r="F62" s="547"/>
      <c r="G62" s="546"/>
      <c r="H62" s="547"/>
      <c r="I62" s="566">
        <v>1</v>
      </c>
      <c r="J62" s="549">
        <v>174995642</v>
      </c>
      <c r="K62" s="550">
        <v>0</v>
      </c>
      <c r="L62" s="550">
        <v>0</v>
      </c>
      <c r="M62" s="550">
        <v>0</v>
      </c>
      <c r="N62" s="550">
        <v>4060000</v>
      </c>
      <c r="O62" s="550">
        <v>0</v>
      </c>
      <c r="P62" s="550">
        <v>0</v>
      </c>
      <c r="Q62" s="550">
        <v>0</v>
      </c>
      <c r="R62" s="550">
        <v>0</v>
      </c>
      <c r="S62" s="549">
        <f>K62+M62+O62+Q62</f>
        <v>0</v>
      </c>
      <c r="T62" s="549">
        <f>L62+N62+P62+R62</f>
        <v>4060000</v>
      </c>
      <c r="U62" s="551">
        <f>IFERROR(S62/I62,0)</f>
        <v>0</v>
      </c>
      <c r="V62" s="551">
        <f>IFERROR(T62/J62,0)</f>
        <v>2.3200577760673607E-2</v>
      </c>
      <c r="W62" s="546"/>
      <c r="X62" s="547"/>
      <c r="Y62" s="552"/>
      <c r="Z62" s="553"/>
      <c r="AA62" s="554" t="s">
        <v>0</v>
      </c>
      <c r="AB62" s="555"/>
      <c r="AC62" s="556"/>
      <c r="AD62" s="556"/>
      <c r="AE62" s="556"/>
      <c r="AF62" s="556"/>
      <c r="AG62" s="556"/>
      <c r="AH62" s="556"/>
    </row>
    <row r="63" spans="1:34" s="557" customFormat="1" ht="55.5" customHeight="1">
      <c r="A63" s="543"/>
      <c r="B63" s="544"/>
      <c r="C63" s="545" t="s">
        <v>177</v>
      </c>
      <c r="D63" s="545" t="s">
        <v>31</v>
      </c>
      <c r="E63" s="546"/>
      <c r="F63" s="547"/>
      <c r="G63" s="546"/>
      <c r="H63" s="547"/>
      <c r="I63" s="566">
        <v>250</v>
      </c>
      <c r="J63" s="549">
        <v>25206100</v>
      </c>
      <c r="K63" s="550">
        <v>0</v>
      </c>
      <c r="L63" s="550">
        <v>0</v>
      </c>
      <c r="M63" s="550">
        <v>250</v>
      </c>
      <c r="N63" s="550">
        <v>0</v>
      </c>
      <c r="O63" s="550">
        <v>0</v>
      </c>
      <c r="P63" s="550">
        <v>0</v>
      </c>
      <c r="Q63" s="550">
        <v>0</v>
      </c>
      <c r="R63" s="550">
        <v>0</v>
      </c>
      <c r="S63" s="549">
        <f>K63+M63+O63+Q63</f>
        <v>250</v>
      </c>
      <c r="T63" s="549">
        <f>L63+N63+P63+R63</f>
        <v>0</v>
      </c>
      <c r="U63" s="551">
        <f>IFERROR(S63/I63,0)</f>
        <v>1</v>
      </c>
      <c r="V63" s="551">
        <f>IFERROR(T63/J63,0)</f>
        <v>0</v>
      </c>
      <c r="W63" s="546"/>
      <c r="X63" s="547"/>
      <c r="Y63" s="552"/>
      <c r="Z63" s="553"/>
      <c r="AA63" s="554" t="s">
        <v>0</v>
      </c>
      <c r="AB63" s="555"/>
      <c r="AC63" s="556"/>
      <c r="AD63" s="556"/>
      <c r="AE63" s="556"/>
      <c r="AF63" s="556"/>
      <c r="AG63" s="556"/>
      <c r="AH63" s="556"/>
    </row>
    <row r="64" spans="1:34">
      <c r="A64" s="167"/>
      <c r="B64" s="173"/>
      <c r="C64" s="191"/>
      <c r="D64" s="175"/>
      <c r="E64" s="176"/>
      <c r="F64" s="177"/>
      <c r="G64" s="176"/>
      <c r="H64" s="177"/>
      <c r="I64" s="178"/>
      <c r="J64" s="179">
        <f>SUM(J62:J63)</f>
        <v>200201742</v>
      </c>
      <c r="K64" s="745" t="s">
        <v>357</v>
      </c>
      <c r="L64" s="746"/>
      <c r="M64" s="746"/>
      <c r="N64" s="746"/>
      <c r="O64" s="746"/>
      <c r="P64" s="746"/>
      <c r="Q64" s="746"/>
      <c r="R64" s="746"/>
      <c r="S64" s="746"/>
      <c r="T64" s="746"/>
      <c r="U64" s="181">
        <f>IFERROR((0+U62*J62+U63*J63)/J64,0)</f>
        <v>0.1259034998806354</v>
      </c>
      <c r="V64" s="181">
        <f>IFERROR((0+V62*J62+V63*J63)/J64,0)</f>
        <v>2.0279543821351966E-2</v>
      </c>
      <c r="W64" s="176"/>
      <c r="X64" s="177"/>
      <c r="Y64" s="182"/>
      <c r="Z64" s="183"/>
      <c r="AA64" s="172"/>
      <c r="AB64" s="172"/>
      <c r="AE64" s="192">
        <f>J64</f>
        <v>200201742</v>
      </c>
      <c r="AF64" s="193">
        <f>J64*U64</f>
        <v>25206100</v>
      </c>
      <c r="AG64" s="193">
        <f>J64*V64</f>
        <v>4060000.0000000005</v>
      </c>
    </row>
    <row r="65" spans="1:34" ht="25.5">
      <c r="A65" s="167"/>
      <c r="B65" s="173"/>
      <c r="C65" s="191"/>
      <c r="D65" s="175"/>
      <c r="E65" s="176"/>
      <c r="F65" s="177"/>
      <c r="G65" s="176"/>
      <c r="H65" s="177"/>
      <c r="I65" s="178"/>
      <c r="J65" s="179"/>
      <c r="K65" s="745" t="s">
        <v>358</v>
      </c>
      <c r="L65" s="746"/>
      <c r="M65" s="746"/>
      <c r="N65" s="746"/>
      <c r="O65" s="746"/>
      <c r="P65" s="746"/>
      <c r="Q65" s="746"/>
      <c r="R65" s="746"/>
      <c r="S65" s="746"/>
      <c r="T65" s="746"/>
      <c r="U65" s="181" t="str">
        <f>IF(U64&gt;0.9,"Sangat Tinggi",IF(U64&gt;0.75,"Tinggi",IF(U64&gt;0.65,"Sedang",IF(U64&gt;0.5,"Rendah","Sangat Rendah"))))</f>
        <v>Sangat Rendah</v>
      </c>
      <c r="V65" s="181" t="str">
        <f>IF(V64&gt;0.9,"Sangat Tinggi",IF(V64&gt;0.75,"Tinggi",IF(V64&gt;0.65,"Sedang",IF(V64&gt;0.5,"Rendah","Sangat Rendah"))))</f>
        <v>Sangat Rendah</v>
      </c>
      <c r="W65" s="176"/>
      <c r="X65" s="177"/>
      <c r="Y65" s="182"/>
      <c r="Z65" s="183"/>
      <c r="AA65" s="172"/>
      <c r="AB65" s="172"/>
    </row>
    <row r="66" spans="1:34" ht="68.099999999999994" customHeight="1">
      <c r="A66" s="167"/>
      <c r="B66" s="173"/>
      <c r="C66" s="184" t="s">
        <v>275</v>
      </c>
      <c r="D66" s="184" t="s">
        <v>389</v>
      </c>
      <c r="E66" s="185"/>
      <c r="F66" s="186">
        <v>0</v>
      </c>
      <c r="G66" s="185"/>
      <c r="H66" s="186"/>
      <c r="I66" s="187"/>
      <c r="J66" s="188"/>
      <c r="K66" s="189"/>
      <c r="L66" s="189"/>
      <c r="M66" s="189"/>
      <c r="N66" s="189"/>
      <c r="O66" s="189"/>
      <c r="P66" s="189"/>
      <c r="Q66" s="189"/>
      <c r="R66" s="189"/>
      <c r="S66" s="188"/>
      <c r="T66" s="188">
        <f>SUM(T67:T71)</f>
        <v>250313500</v>
      </c>
      <c r="U66" s="190" t="e">
        <f>S66/I66</f>
        <v>#DIV/0!</v>
      </c>
      <c r="V66" s="190" t="e">
        <f>T66/J66</f>
        <v>#DIV/0!</v>
      </c>
      <c r="W66" s="176">
        <f>S66+G66</f>
        <v>0</v>
      </c>
      <c r="X66" s="177">
        <f>T66+H66</f>
        <v>250313500</v>
      </c>
      <c r="Y66" s="182" t="e">
        <f>W66/E66</f>
        <v>#DIV/0!</v>
      </c>
      <c r="Z66" s="183" t="e">
        <f>X66/F66</f>
        <v>#DIV/0!</v>
      </c>
      <c r="AA66" s="172"/>
      <c r="AB66" s="172"/>
    </row>
    <row r="67" spans="1:34" ht="51" customHeight="1">
      <c r="A67" s="167"/>
      <c r="B67" s="173"/>
      <c r="C67" s="175" t="s">
        <v>390</v>
      </c>
      <c r="D67" s="194" t="s">
        <v>391</v>
      </c>
      <c r="E67" s="176"/>
      <c r="F67" s="177"/>
      <c r="G67" s="176"/>
      <c r="H67" s="177"/>
      <c r="I67" s="178">
        <v>100</v>
      </c>
      <c r="J67" s="195">
        <v>625000000</v>
      </c>
      <c r="K67" s="196">
        <v>100</v>
      </c>
      <c r="L67" s="180">
        <v>72000000</v>
      </c>
      <c r="M67" s="180">
        <v>100</v>
      </c>
      <c r="N67" s="180">
        <v>160318250</v>
      </c>
      <c r="O67" s="180">
        <v>0</v>
      </c>
      <c r="P67" s="180">
        <v>0</v>
      </c>
      <c r="Q67" s="180">
        <v>0</v>
      </c>
      <c r="R67" s="180">
        <v>0</v>
      </c>
      <c r="S67" s="179">
        <f t="shared" ref="S67:T71" si="13">K67+M67+O67+Q67</f>
        <v>200</v>
      </c>
      <c r="T67" s="179">
        <f t="shared" si="13"/>
        <v>232318250</v>
      </c>
      <c r="U67" s="181">
        <f>IFERROR(S67/I67,0)/4</f>
        <v>0.5</v>
      </c>
      <c r="V67" s="181">
        <f t="shared" ref="V67:V71" si="14">IFERROR(T67/J67,0)</f>
        <v>0.37170920000000002</v>
      </c>
      <c r="W67" s="176"/>
      <c r="X67" s="177"/>
      <c r="Y67" s="182"/>
      <c r="Z67" s="183"/>
      <c r="AA67" s="168" t="s">
        <v>0</v>
      </c>
      <c r="AB67" s="172"/>
    </row>
    <row r="68" spans="1:34" ht="57" customHeight="1">
      <c r="A68" s="167"/>
      <c r="B68" s="173"/>
      <c r="C68" s="175" t="s">
        <v>276</v>
      </c>
      <c r="D68" s="194" t="s">
        <v>392</v>
      </c>
      <c r="E68" s="176"/>
      <c r="F68" s="177"/>
      <c r="G68" s="176"/>
      <c r="H68" s="177"/>
      <c r="I68" s="178">
        <v>100</v>
      </c>
      <c r="J68" s="195">
        <v>40000000</v>
      </c>
      <c r="K68" s="196">
        <v>100</v>
      </c>
      <c r="L68" s="180">
        <v>0</v>
      </c>
      <c r="M68" s="180">
        <v>100</v>
      </c>
      <c r="N68" s="180">
        <v>6834750</v>
      </c>
      <c r="O68" s="180">
        <v>0</v>
      </c>
      <c r="P68" s="180">
        <v>0</v>
      </c>
      <c r="Q68" s="180">
        <v>0</v>
      </c>
      <c r="R68" s="180">
        <v>0</v>
      </c>
      <c r="S68" s="179">
        <f t="shared" si="13"/>
        <v>200</v>
      </c>
      <c r="T68" s="179">
        <f t="shared" si="13"/>
        <v>6834750</v>
      </c>
      <c r="U68" s="181">
        <f>IFERROR(S68/I68,0)/4</f>
        <v>0.5</v>
      </c>
      <c r="V68" s="181">
        <f t="shared" si="14"/>
        <v>0.17086875000000001</v>
      </c>
      <c r="W68" s="176"/>
      <c r="X68" s="177"/>
      <c r="Y68" s="182"/>
      <c r="Z68" s="183"/>
      <c r="AA68" s="168" t="s">
        <v>0</v>
      </c>
      <c r="AB68" s="172"/>
    </row>
    <row r="69" spans="1:34" ht="69.75" customHeight="1">
      <c r="A69" s="167"/>
      <c r="B69" s="173"/>
      <c r="C69" s="175" t="s">
        <v>199</v>
      </c>
      <c r="D69" s="194" t="s">
        <v>393</v>
      </c>
      <c r="E69" s="176"/>
      <c r="F69" s="177"/>
      <c r="G69" s="176"/>
      <c r="H69" s="177"/>
      <c r="I69" s="178">
        <v>100</v>
      </c>
      <c r="J69" s="195">
        <v>40000000</v>
      </c>
      <c r="K69" s="196">
        <v>100</v>
      </c>
      <c r="L69" s="180">
        <v>0</v>
      </c>
      <c r="M69" s="180">
        <v>100</v>
      </c>
      <c r="N69" s="180">
        <v>11160500</v>
      </c>
      <c r="O69" s="180">
        <v>0</v>
      </c>
      <c r="P69" s="180">
        <v>0</v>
      </c>
      <c r="Q69" s="180">
        <v>0</v>
      </c>
      <c r="R69" s="180">
        <v>0</v>
      </c>
      <c r="S69" s="179">
        <f t="shared" si="13"/>
        <v>200</v>
      </c>
      <c r="T69" s="179">
        <f t="shared" si="13"/>
        <v>11160500</v>
      </c>
      <c r="U69" s="181">
        <f>IFERROR(S69/I69,0)/4</f>
        <v>0.5</v>
      </c>
      <c r="V69" s="181">
        <f t="shared" si="14"/>
        <v>0.2790125</v>
      </c>
      <c r="W69" s="176"/>
      <c r="X69" s="177"/>
      <c r="Y69" s="182"/>
      <c r="Z69" s="183"/>
      <c r="AA69" s="168" t="s">
        <v>0</v>
      </c>
      <c r="AB69" s="172"/>
    </row>
    <row r="70" spans="1:34" ht="56.1" customHeight="1">
      <c r="A70" s="167"/>
      <c r="B70" s="173"/>
      <c r="C70" s="175" t="s">
        <v>201</v>
      </c>
      <c r="D70" s="194" t="s">
        <v>394</v>
      </c>
      <c r="E70" s="176"/>
      <c r="F70" s="177"/>
      <c r="G70" s="176"/>
      <c r="H70" s="177"/>
      <c r="I70" s="178">
        <v>100</v>
      </c>
      <c r="J70" s="195">
        <v>20000000</v>
      </c>
      <c r="K70" s="196">
        <v>100</v>
      </c>
      <c r="L70" s="180">
        <v>0</v>
      </c>
      <c r="M70" s="180">
        <v>100</v>
      </c>
      <c r="N70" s="180">
        <v>0</v>
      </c>
      <c r="O70" s="180">
        <v>0</v>
      </c>
      <c r="P70" s="180">
        <v>0</v>
      </c>
      <c r="Q70" s="180">
        <v>0</v>
      </c>
      <c r="R70" s="180">
        <v>0</v>
      </c>
      <c r="S70" s="179">
        <f>K70+M70+O70+Q70</f>
        <v>200</v>
      </c>
      <c r="T70" s="179">
        <f t="shared" si="13"/>
        <v>0</v>
      </c>
      <c r="U70" s="181">
        <f>IFERROR(S70/I70,0)/4</f>
        <v>0.5</v>
      </c>
      <c r="V70" s="181">
        <f t="shared" si="14"/>
        <v>0</v>
      </c>
      <c r="W70" s="176"/>
      <c r="X70" s="177"/>
      <c r="Y70" s="182"/>
      <c r="Z70" s="183"/>
      <c r="AA70" s="168" t="s">
        <v>0</v>
      </c>
      <c r="AB70" s="172"/>
    </row>
    <row r="71" spans="1:34" ht="58.5" customHeight="1">
      <c r="A71" s="167"/>
      <c r="B71" s="173"/>
      <c r="C71" s="175" t="s">
        <v>395</v>
      </c>
      <c r="D71" s="194" t="s">
        <v>396</v>
      </c>
      <c r="E71" s="176"/>
      <c r="F71" s="177"/>
      <c r="G71" s="176"/>
      <c r="H71" s="177"/>
      <c r="I71" s="178">
        <v>100</v>
      </c>
      <c r="J71" s="195">
        <v>30000000</v>
      </c>
      <c r="K71" s="196">
        <v>100</v>
      </c>
      <c r="L71" s="180">
        <v>0</v>
      </c>
      <c r="M71" s="180">
        <v>100</v>
      </c>
      <c r="N71" s="180">
        <v>0</v>
      </c>
      <c r="O71" s="180">
        <v>0</v>
      </c>
      <c r="P71" s="180">
        <v>0</v>
      </c>
      <c r="Q71" s="180">
        <v>0</v>
      </c>
      <c r="R71" s="180">
        <v>0</v>
      </c>
      <c r="S71" s="179">
        <f t="shared" si="13"/>
        <v>200</v>
      </c>
      <c r="T71" s="179">
        <f t="shared" si="13"/>
        <v>0</v>
      </c>
      <c r="U71" s="181">
        <f>IFERROR(S71/I71,0)/4</f>
        <v>0.5</v>
      </c>
      <c r="V71" s="181">
        <f t="shared" si="14"/>
        <v>0</v>
      </c>
      <c r="W71" s="176"/>
      <c r="X71" s="177"/>
      <c r="Y71" s="182"/>
      <c r="Z71" s="183"/>
      <c r="AA71" s="168" t="s">
        <v>0</v>
      </c>
      <c r="AB71" s="172"/>
    </row>
    <row r="72" spans="1:34" ht="14.45" customHeight="1">
      <c r="A72" s="167"/>
      <c r="B72" s="173"/>
      <c r="C72" s="191"/>
      <c r="D72" s="175"/>
      <c r="E72" s="176"/>
      <c r="F72" s="177"/>
      <c r="G72" s="176"/>
      <c r="H72" s="177"/>
      <c r="I72" s="178"/>
      <c r="J72" s="179">
        <f>SUM(J67:J71)</f>
        <v>755000000</v>
      </c>
      <c r="K72" s="745" t="s">
        <v>357</v>
      </c>
      <c r="L72" s="746"/>
      <c r="M72" s="746"/>
      <c r="N72" s="746"/>
      <c r="O72" s="746"/>
      <c r="P72" s="746"/>
      <c r="Q72" s="746"/>
      <c r="R72" s="746"/>
      <c r="S72" s="746"/>
      <c r="T72" s="746"/>
      <c r="U72" s="181">
        <f>IFERROR((0+U67*J67+U68*J68+U69*J69+U70*J70+U71*J71)/J72,0)</f>
        <v>0.5</v>
      </c>
      <c r="V72" s="181">
        <f>IFERROR((0+V67*J67+V68*J68+V69*J69+V70*J70+V71*J71)/J72,0)</f>
        <v>0.33154105960264901</v>
      </c>
      <c r="W72" s="176"/>
      <c r="X72" s="177"/>
      <c r="Y72" s="182"/>
      <c r="Z72" s="183"/>
      <c r="AA72" s="172"/>
      <c r="AB72" s="172"/>
      <c r="AE72" s="102">
        <f>J72</f>
        <v>755000000</v>
      </c>
      <c r="AF72" s="193">
        <f>J72*U72</f>
        <v>377500000</v>
      </c>
      <c r="AG72" s="193">
        <f>J72*V72</f>
        <v>250313500</v>
      </c>
    </row>
    <row r="73" spans="1:34" ht="14.45" customHeight="1">
      <c r="A73" s="167"/>
      <c r="B73" s="173"/>
      <c r="C73" s="191"/>
      <c r="D73" s="175"/>
      <c r="E73" s="176"/>
      <c r="F73" s="177"/>
      <c r="G73" s="176"/>
      <c r="H73" s="177"/>
      <c r="I73" s="178"/>
      <c r="J73" s="179"/>
      <c r="K73" s="745" t="s">
        <v>358</v>
      </c>
      <c r="L73" s="746"/>
      <c r="M73" s="746"/>
      <c r="N73" s="746"/>
      <c r="O73" s="746"/>
      <c r="P73" s="746"/>
      <c r="Q73" s="746"/>
      <c r="R73" s="746"/>
      <c r="S73" s="746"/>
      <c r="T73" s="746"/>
      <c r="U73" s="181" t="str">
        <f>IF(U72&gt;0.9,"Sangat Tinggi",IF(U72&gt;0.75,"Tinggi",IF(U72&gt;0.65,"Sedang",IF(U72&gt;0.5,"Rendah","Sangat Rendah"))))</f>
        <v>Sangat Rendah</v>
      </c>
      <c r="V73" s="181" t="str">
        <f>IF(V72&gt;0.9,"Sangat Tinggi",IF(V72&gt;0.75,"Tinggi",IF(V72&gt;0.65,"Sedang",IF(V72&gt;0.5,"Rendah","Sangat Rendah"))))</f>
        <v>Sangat Rendah</v>
      </c>
      <c r="W73" s="176"/>
      <c r="X73" s="177"/>
      <c r="Y73" s="182"/>
      <c r="Z73" s="183"/>
      <c r="AA73" s="172"/>
      <c r="AB73" s="172"/>
    </row>
    <row r="74" spans="1:34" ht="88.5" customHeight="1">
      <c r="A74" s="167"/>
      <c r="B74" s="173"/>
      <c r="C74" s="184" t="s">
        <v>272</v>
      </c>
      <c r="D74" s="184" t="s">
        <v>397</v>
      </c>
      <c r="E74" s="185"/>
      <c r="F74" s="186">
        <v>0</v>
      </c>
      <c r="G74" s="185"/>
      <c r="H74" s="186"/>
      <c r="I74" s="187"/>
      <c r="J74" s="188"/>
      <c r="K74" s="189"/>
      <c r="L74" s="189"/>
      <c r="M74" s="189"/>
      <c r="N74" s="189"/>
      <c r="O74" s="189"/>
      <c r="P74" s="189"/>
      <c r="Q74" s="189"/>
      <c r="R74" s="189"/>
      <c r="S74" s="188"/>
      <c r="T74" s="188">
        <f>0</f>
        <v>0</v>
      </c>
      <c r="U74" s="190" t="e">
        <f>S74/I74</f>
        <v>#DIV/0!</v>
      </c>
      <c r="V74" s="190" t="e">
        <f>T74/J74</f>
        <v>#DIV/0!</v>
      </c>
      <c r="W74" s="176">
        <f>S74+G74</f>
        <v>0</v>
      </c>
      <c r="X74" s="177">
        <f>T74+H74</f>
        <v>0</v>
      </c>
      <c r="Y74" s="182" t="e">
        <f>W74/E74</f>
        <v>#DIV/0!</v>
      </c>
      <c r="Z74" s="183" t="e">
        <f>X74/F74</f>
        <v>#DIV/0!</v>
      </c>
      <c r="AA74" s="172"/>
      <c r="AB74" s="172"/>
    </row>
    <row r="75" spans="1:34" s="557" customFormat="1" ht="52.5" customHeight="1">
      <c r="A75" s="543"/>
      <c r="B75" s="544"/>
      <c r="C75" s="545" t="s">
        <v>16</v>
      </c>
      <c r="D75" s="545" t="s">
        <v>449</v>
      </c>
      <c r="E75" s="546"/>
      <c r="F75" s="547"/>
      <c r="G75" s="546"/>
      <c r="H75" s="547"/>
      <c r="I75" s="548">
        <v>1</v>
      </c>
      <c r="J75" s="549">
        <v>174790750</v>
      </c>
      <c r="K75" s="550">
        <v>0</v>
      </c>
      <c r="L75" s="550">
        <v>0</v>
      </c>
      <c r="M75" s="550">
        <v>0</v>
      </c>
      <c r="N75" s="550">
        <v>0</v>
      </c>
      <c r="O75" s="550">
        <v>0</v>
      </c>
      <c r="P75" s="550">
        <v>0</v>
      </c>
      <c r="Q75" s="550">
        <v>0</v>
      </c>
      <c r="R75" s="550">
        <v>0</v>
      </c>
      <c r="S75" s="549">
        <f t="shared" ref="S75:T81" si="15">K75+M75+O75+Q75</f>
        <v>0</v>
      </c>
      <c r="T75" s="549">
        <f t="shared" si="15"/>
        <v>0</v>
      </c>
      <c r="U75" s="551">
        <f>IFERROR(S75/I75,0)</f>
        <v>0</v>
      </c>
      <c r="V75" s="551">
        <f t="shared" ref="U75:V81" si="16">IFERROR(T75/J75,0)</f>
        <v>0</v>
      </c>
      <c r="W75" s="546"/>
      <c r="X75" s="547"/>
      <c r="Y75" s="552"/>
      <c r="Z75" s="553"/>
      <c r="AA75" s="554" t="s">
        <v>0</v>
      </c>
      <c r="AB75" s="555"/>
      <c r="AC75" s="556"/>
      <c r="AD75" s="556"/>
      <c r="AE75" s="556"/>
      <c r="AF75" s="556"/>
      <c r="AG75" s="556"/>
      <c r="AH75" s="556"/>
    </row>
    <row r="76" spans="1:34" s="557" customFormat="1" ht="67.5" customHeight="1">
      <c r="A76" s="543"/>
      <c r="B76" s="544"/>
      <c r="C76" s="545" t="s">
        <v>18</v>
      </c>
      <c r="D76" s="545" t="s">
        <v>398</v>
      </c>
      <c r="E76" s="546"/>
      <c r="F76" s="547"/>
      <c r="G76" s="546"/>
      <c r="H76" s="547"/>
      <c r="I76" s="548">
        <v>50</v>
      </c>
      <c r="J76" s="549">
        <v>32425900</v>
      </c>
      <c r="K76" s="550">
        <v>0</v>
      </c>
      <c r="L76" s="550">
        <v>0</v>
      </c>
      <c r="M76" s="550">
        <v>0</v>
      </c>
      <c r="N76" s="550">
        <v>0</v>
      </c>
      <c r="O76" s="550">
        <v>0</v>
      </c>
      <c r="P76" s="550">
        <v>0</v>
      </c>
      <c r="Q76" s="550">
        <v>0</v>
      </c>
      <c r="R76" s="550">
        <v>0</v>
      </c>
      <c r="S76" s="549">
        <f t="shared" ref="S76:S78" si="17">K76+M76+O76+Q76</f>
        <v>0</v>
      </c>
      <c r="T76" s="549">
        <f t="shared" ref="T76:T78" si="18">L76+N76+P76+R76</f>
        <v>0</v>
      </c>
      <c r="U76" s="551">
        <f>IFERROR(S76/I76,0)</f>
        <v>0</v>
      </c>
      <c r="V76" s="551">
        <f t="shared" ref="V76:V78" si="19">IFERROR(T76/J76,0)</f>
        <v>0</v>
      </c>
      <c r="W76" s="546"/>
      <c r="X76" s="547"/>
      <c r="Y76" s="552"/>
      <c r="Z76" s="553"/>
      <c r="AA76" s="554" t="s">
        <v>0</v>
      </c>
      <c r="AB76" s="555"/>
      <c r="AC76" s="556"/>
      <c r="AD76" s="556"/>
      <c r="AE76" s="556"/>
      <c r="AF76" s="556"/>
      <c r="AG76" s="556"/>
      <c r="AH76" s="556"/>
    </row>
    <row r="77" spans="1:34" s="557" customFormat="1" ht="49.5" customHeight="1">
      <c r="A77" s="543"/>
      <c r="B77" s="544"/>
      <c r="C77" s="545" t="s">
        <v>19</v>
      </c>
      <c r="D77" s="545" t="s">
        <v>33</v>
      </c>
      <c r="E77" s="546"/>
      <c r="F77" s="547"/>
      <c r="G77" s="546"/>
      <c r="H77" s="547"/>
      <c r="I77" s="548">
        <v>21</v>
      </c>
      <c r="J77" s="549">
        <v>94830000</v>
      </c>
      <c r="K77" s="550">
        <v>0</v>
      </c>
      <c r="L77" s="550">
        <v>0</v>
      </c>
      <c r="M77" s="550">
        <v>0</v>
      </c>
      <c r="N77" s="550">
        <v>0</v>
      </c>
      <c r="O77" s="550">
        <v>0</v>
      </c>
      <c r="P77" s="550">
        <v>0</v>
      </c>
      <c r="Q77" s="550">
        <v>0</v>
      </c>
      <c r="R77" s="550">
        <v>0</v>
      </c>
      <c r="S77" s="549">
        <f t="shared" si="17"/>
        <v>0</v>
      </c>
      <c r="T77" s="549">
        <f t="shared" si="18"/>
        <v>0</v>
      </c>
      <c r="U77" s="551">
        <f t="shared" ref="U77:U78" si="20">IFERROR(S77/I77,0)</f>
        <v>0</v>
      </c>
      <c r="V77" s="551">
        <f t="shared" si="19"/>
        <v>0</v>
      </c>
      <c r="W77" s="546"/>
      <c r="X77" s="547"/>
      <c r="Y77" s="552"/>
      <c r="Z77" s="553"/>
      <c r="AA77" s="554" t="s">
        <v>0</v>
      </c>
      <c r="AB77" s="555"/>
      <c r="AC77" s="556"/>
      <c r="AD77" s="556"/>
      <c r="AE77" s="556"/>
      <c r="AF77" s="556"/>
      <c r="AG77" s="556"/>
      <c r="AH77" s="556"/>
    </row>
    <row r="78" spans="1:34" s="557" customFormat="1" ht="94.5" customHeight="1">
      <c r="A78" s="543"/>
      <c r="B78" s="544"/>
      <c r="C78" s="545" t="s">
        <v>399</v>
      </c>
      <c r="D78" s="545" t="s">
        <v>37</v>
      </c>
      <c r="E78" s="546"/>
      <c r="F78" s="547"/>
      <c r="G78" s="546"/>
      <c r="H78" s="547"/>
      <c r="I78" s="548">
        <v>2</v>
      </c>
      <c r="J78" s="549">
        <v>34912800</v>
      </c>
      <c r="K78" s="550">
        <v>0</v>
      </c>
      <c r="L78" s="550">
        <v>0</v>
      </c>
      <c r="M78" s="550">
        <v>0</v>
      </c>
      <c r="N78" s="550">
        <v>0</v>
      </c>
      <c r="O78" s="550">
        <v>0</v>
      </c>
      <c r="P78" s="550">
        <v>0</v>
      </c>
      <c r="Q78" s="550">
        <v>0</v>
      </c>
      <c r="R78" s="550">
        <v>0</v>
      </c>
      <c r="S78" s="549">
        <f t="shared" si="17"/>
        <v>0</v>
      </c>
      <c r="T78" s="549">
        <f t="shared" si="18"/>
        <v>0</v>
      </c>
      <c r="U78" s="551">
        <f t="shared" si="20"/>
        <v>0</v>
      </c>
      <c r="V78" s="551">
        <f t="shared" si="19"/>
        <v>0</v>
      </c>
      <c r="W78" s="546"/>
      <c r="X78" s="547"/>
      <c r="Y78" s="552"/>
      <c r="Z78" s="553"/>
      <c r="AA78" s="554" t="s">
        <v>0</v>
      </c>
      <c r="AB78" s="555"/>
      <c r="AC78" s="556"/>
      <c r="AD78" s="556"/>
      <c r="AE78" s="556"/>
      <c r="AF78" s="556"/>
      <c r="AG78" s="556"/>
      <c r="AH78" s="556"/>
    </row>
    <row r="79" spans="1:34" s="557" customFormat="1" ht="45.75" customHeight="1">
      <c r="A79" s="543"/>
      <c r="B79" s="544"/>
      <c r="C79" s="545" t="s">
        <v>400</v>
      </c>
      <c r="D79" s="545" t="s">
        <v>36</v>
      </c>
      <c r="E79" s="546"/>
      <c r="F79" s="547"/>
      <c r="G79" s="546"/>
      <c r="H79" s="547"/>
      <c r="I79" s="548">
        <v>50</v>
      </c>
      <c r="J79" s="549">
        <v>29890000</v>
      </c>
      <c r="K79" s="550">
        <v>0</v>
      </c>
      <c r="L79" s="550">
        <v>0</v>
      </c>
      <c r="M79" s="550">
        <v>0</v>
      </c>
      <c r="N79" s="550">
        <v>0</v>
      </c>
      <c r="O79" s="550">
        <v>0</v>
      </c>
      <c r="P79" s="550">
        <v>0</v>
      </c>
      <c r="Q79" s="550">
        <v>0</v>
      </c>
      <c r="R79" s="550">
        <v>0</v>
      </c>
      <c r="S79" s="549">
        <f t="shared" si="15"/>
        <v>0</v>
      </c>
      <c r="T79" s="549">
        <f t="shared" si="15"/>
        <v>0</v>
      </c>
      <c r="U79" s="551">
        <f>IFERROR(S79/I79,0)</f>
        <v>0</v>
      </c>
      <c r="V79" s="551">
        <f t="shared" si="16"/>
        <v>0</v>
      </c>
      <c r="W79" s="546"/>
      <c r="X79" s="547"/>
      <c r="Y79" s="552"/>
      <c r="Z79" s="553"/>
      <c r="AA79" s="554" t="s">
        <v>0</v>
      </c>
      <c r="AB79" s="555"/>
      <c r="AC79" s="556"/>
      <c r="AD79" s="556"/>
      <c r="AE79" s="556"/>
      <c r="AF79" s="556"/>
      <c r="AG79" s="556"/>
      <c r="AH79" s="556"/>
    </row>
    <row r="80" spans="1:34" s="557" customFormat="1" ht="45.75" customHeight="1">
      <c r="A80" s="543"/>
      <c r="B80" s="544"/>
      <c r="C80" s="545" t="s">
        <v>21</v>
      </c>
      <c r="D80" s="545" t="s">
        <v>35</v>
      </c>
      <c r="E80" s="546"/>
      <c r="F80" s="547"/>
      <c r="G80" s="546"/>
      <c r="H80" s="547"/>
      <c r="I80" s="548">
        <v>1</v>
      </c>
      <c r="J80" s="549">
        <v>99506640</v>
      </c>
      <c r="K80" s="550">
        <v>0</v>
      </c>
      <c r="L80" s="550">
        <v>0</v>
      </c>
      <c r="M80" s="550">
        <v>0</v>
      </c>
      <c r="N80" s="550">
        <v>0</v>
      </c>
      <c r="O80" s="550">
        <v>0</v>
      </c>
      <c r="P80" s="550">
        <v>0</v>
      </c>
      <c r="Q80" s="550">
        <v>0</v>
      </c>
      <c r="R80" s="550">
        <v>0</v>
      </c>
      <c r="S80" s="549">
        <f t="shared" si="15"/>
        <v>0</v>
      </c>
      <c r="T80" s="549">
        <f t="shared" si="15"/>
        <v>0</v>
      </c>
      <c r="U80" s="551">
        <f t="shared" si="16"/>
        <v>0</v>
      </c>
      <c r="V80" s="551">
        <f t="shared" si="16"/>
        <v>0</v>
      </c>
      <c r="W80" s="546"/>
      <c r="X80" s="547"/>
      <c r="Y80" s="552"/>
      <c r="Z80" s="553"/>
      <c r="AA80" s="554" t="s">
        <v>0</v>
      </c>
      <c r="AB80" s="555"/>
      <c r="AC80" s="556"/>
      <c r="AD80" s="556"/>
      <c r="AE80" s="556"/>
      <c r="AF80" s="556"/>
      <c r="AG80" s="556"/>
      <c r="AH80" s="556"/>
    </row>
    <row r="81" spans="1:34" s="557" customFormat="1" ht="45.75" customHeight="1">
      <c r="A81" s="543"/>
      <c r="B81" s="544"/>
      <c r="C81" s="545" t="s">
        <v>20</v>
      </c>
      <c r="D81" s="545" t="s">
        <v>401</v>
      </c>
      <c r="E81" s="546"/>
      <c r="F81" s="547"/>
      <c r="G81" s="546"/>
      <c r="H81" s="547"/>
      <c r="I81" s="548">
        <v>250</v>
      </c>
      <c r="J81" s="549">
        <v>19136500</v>
      </c>
      <c r="K81" s="550">
        <v>0</v>
      </c>
      <c r="L81" s="550">
        <v>0</v>
      </c>
      <c r="M81" s="550">
        <v>0</v>
      </c>
      <c r="N81" s="550">
        <v>0</v>
      </c>
      <c r="O81" s="550">
        <v>0</v>
      </c>
      <c r="P81" s="550">
        <v>0</v>
      </c>
      <c r="Q81" s="550">
        <v>0</v>
      </c>
      <c r="R81" s="550">
        <v>0</v>
      </c>
      <c r="S81" s="549">
        <f t="shared" si="15"/>
        <v>0</v>
      </c>
      <c r="T81" s="549">
        <f t="shared" si="15"/>
        <v>0</v>
      </c>
      <c r="U81" s="551">
        <f t="shared" si="16"/>
        <v>0</v>
      </c>
      <c r="V81" s="551">
        <f t="shared" si="16"/>
        <v>0</v>
      </c>
      <c r="W81" s="546"/>
      <c r="X81" s="547"/>
      <c r="Y81" s="552"/>
      <c r="Z81" s="553"/>
      <c r="AA81" s="554" t="s">
        <v>0</v>
      </c>
      <c r="AB81" s="555"/>
      <c r="AC81" s="556"/>
      <c r="AD81" s="556"/>
      <c r="AE81" s="556"/>
      <c r="AF81" s="556"/>
      <c r="AG81" s="556"/>
      <c r="AH81" s="556"/>
    </row>
    <row r="82" spans="1:34" ht="14.45" customHeight="1">
      <c r="A82" s="167"/>
      <c r="B82" s="173"/>
      <c r="C82" s="191"/>
      <c r="D82" s="175"/>
      <c r="E82" s="176"/>
      <c r="F82" s="177"/>
      <c r="G82" s="176"/>
      <c r="H82" s="177"/>
      <c r="I82" s="178"/>
      <c r="J82" s="179">
        <f>SUM(J75:J81)</f>
        <v>485492590</v>
      </c>
      <c r="K82" s="745" t="s">
        <v>357</v>
      </c>
      <c r="L82" s="746"/>
      <c r="M82" s="746"/>
      <c r="N82" s="746"/>
      <c r="O82" s="746"/>
      <c r="P82" s="746"/>
      <c r="Q82" s="746"/>
      <c r="R82" s="746"/>
      <c r="S82" s="746"/>
      <c r="T82" s="746"/>
      <c r="U82" s="181">
        <f>IFERROR((0+U75*J75+U76*J76+U77*J77+U78*J78+U79*J79+U80*J80+U81*J81)/J82,0)</f>
        <v>0</v>
      </c>
      <c r="V82" s="181">
        <f>IFERROR((0+V75*J75+V76*J76+V77*J77+V78*J78+V79*J79+V80*J80+V81*J81)/J82,0)</f>
        <v>0</v>
      </c>
      <c r="W82" s="176"/>
      <c r="X82" s="177"/>
      <c r="Y82" s="182"/>
      <c r="Z82" s="183"/>
      <c r="AA82" s="172"/>
      <c r="AB82" s="172"/>
      <c r="AE82" s="102">
        <f>J82</f>
        <v>485492590</v>
      </c>
      <c r="AF82" s="102">
        <f>J82*U82</f>
        <v>0</v>
      </c>
      <c r="AG82" s="193">
        <f>J82*V82</f>
        <v>0</v>
      </c>
    </row>
    <row r="83" spans="1:34" ht="14.45" customHeight="1">
      <c r="A83" s="167"/>
      <c r="B83" s="173"/>
      <c r="C83" s="191"/>
      <c r="D83" s="175"/>
      <c r="E83" s="176"/>
      <c r="F83" s="177"/>
      <c r="G83" s="176"/>
      <c r="H83" s="177"/>
      <c r="I83" s="178"/>
      <c r="J83" s="179"/>
      <c r="K83" s="745" t="s">
        <v>358</v>
      </c>
      <c r="L83" s="746"/>
      <c r="M83" s="746"/>
      <c r="N83" s="746"/>
      <c r="O83" s="746"/>
      <c r="P83" s="746"/>
      <c r="Q83" s="746"/>
      <c r="R83" s="746"/>
      <c r="S83" s="746"/>
      <c r="T83" s="746"/>
      <c r="U83" s="181" t="str">
        <f>IF(U82&gt;0.9,"Sangat Tinggi",IF(U82&gt;0.75,"Tinggi",IF(U82&gt;0.65,"Sedang",IF(U82&gt;0.5,"Rendah","Sangat Rendah"))))</f>
        <v>Sangat Rendah</v>
      </c>
      <c r="V83" s="181" t="str">
        <f>IF(V82&gt;0.9,"Sangat Tinggi",IF(V82&gt;0.75,"Tinggi",IF(V82&gt;0.65,"Sedang",IF(V82&gt;0.5,"Rendah","Sangat Rendah"))))</f>
        <v>Sangat Rendah</v>
      </c>
      <c r="W83" s="176"/>
      <c r="X83" s="177"/>
      <c r="Y83" s="182"/>
      <c r="Z83" s="183"/>
      <c r="AA83" s="172"/>
      <c r="AB83" s="172"/>
    </row>
    <row r="84" spans="1:34" ht="47.1" customHeight="1">
      <c r="A84" s="167"/>
      <c r="B84" s="173"/>
      <c r="C84" s="184" t="s">
        <v>402</v>
      </c>
      <c r="D84" s="184" t="s">
        <v>403</v>
      </c>
      <c r="E84" s="185"/>
      <c r="F84" s="186">
        <v>0</v>
      </c>
      <c r="G84" s="185"/>
      <c r="H84" s="186"/>
      <c r="I84" s="187"/>
      <c r="J84" s="188"/>
      <c r="K84" s="189"/>
      <c r="L84" s="189"/>
      <c r="M84" s="189"/>
      <c r="N84" s="189"/>
      <c r="O84" s="189"/>
      <c r="P84" s="189"/>
      <c r="Q84" s="189"/>
      <c r="R84" s="189"/>
      <c r="S84" s="188"/>
      <c r="T84" s="188">
        <f>SUM(T85:T85)</f>
        <v>0</v>
      </c>
      <c r="U84" s="190" t="e">
        <f>S84/I84</f>
        <v>#DIV/0!</v>
      </c>
      <c r="V84" s="190" t="e">
        <f>T84/J84</f>
        <v>#DIV/0!</v>
      </c>
      <c r="W84" s="176">
        <f>S84+G84</f>
        <v>0</v>
      </c>
      <c r="X84" s="177">
        <f>T84+H84</f>
        <v>0</v>
      </c>
      <c r="Y84" s="182" t="e">
        <f>W84/E84</f>
        <v>#DIV/0!</v>
      </c>
      <c r="Z84" s="183" t="e">
        <f>X84/F84</f>
        <v>#DIV/0!</v>
      </c>
      <c r="AA84" s="172"/>
      <c r="AB84" s="172"/>
    </row>
    <row r="85" spans="1:34" s="557" customFormat="1" ht="47.1" customHeight="1">
      <c r="A85" s="543"/>
      <c r="B85" s="544"/>
      <c r="C85" s="545" t="s">
        <v>205</v>
      </c>
      <c r="D85" s="558" t="s">
        <v>277</v>
      </c>
      <c r="E85" s="546"/>
      <c r="F85" s="547"/>
      <c r="G85" s="546"/>
      <c r="H85" s="547"/>
      <c r="I85" s="548">
        <v>3</v>
      </c>
      <c r="J85" s="559">
        <v>19972800</v>
      </c>
      <c r="K85" s="560">
        <v>0</v>
      </c>
      <c r="L85" s="550">
        <v>0</v>
      </c>
      <c r="M85" s="550">
        <v>0</v>
      </c>
      <c r="N85" s="550">
        <v>0</v>
      </c>
      <c r="O85" s="550">
        <v>0</v>
      </c>
      <c r="P85" s="550">
        <v>0</v>
      </c>
      <c r="Q85" s="550">
        <v>0</v>
      </c>
      <c r="R85" s="550">
        <v>0</v>
      </c>
      <c r="S85" s="549">
        <f>K85+M85+O85+Q85</f>
        <v>0</v>
      </c>
      <c r="T85" s="549">
        <f t="shared" ref="T85:T87" si="21">L85+N85+P85+R85</f>
        <v>0</v>
      </c>
      <c r="U85" s="551">
        <f>IFERROR(S85/I85,0)/4</f>
        <v>0</v>
      </c>
      <c r="V85" s="551">
        <f t="shared" ref="V85:V86" si="22">IFERROR(T85/J85,0)</f>
        <v>0</v>
      </c>
      <c r="W85" s="546"/>
      <c r="X85" s="547"/>
      <c r="Y85" s="552"/>
      <c r="Z85" s="553"/>
      <c r="AA85" s="554" t="s">
        <v>0</v>
      </c>
      <c r="AB85" s="555"/>
      <c r="AC85" s="556"/>
      <c r="AD85" s="556"/>
      <c r="AE85" s="556"/>
      <c r="AF85" s="556"/>
      <c r="AG85" s="556"/>
      <c r="AH85" s="556"/>
    </row>
    <row r="86" spans="1:34" s="557" customFormat="1" ht="47.1" customHeight="1">
      <c r="A86" s="543"/>
      <c r="B86" s="544"/>
      <c r="C86" s="545" t="s">
        <v>279</v>
      </c>
      <c r="D86" s="558" t="s">
        <v>280</v>
      </c>
      <c r="E86" s="546"/>
      <c r="F86" s="547"/>
      <c r="G86" s="546"/>
      <c r="H86" s="547"/>
      <c r="I86" s="548">
        <v>1</v>
      </c>
      <c r="J86" s="559">
        <v>64997400</v>
      </c>
      <c r="K86" s="560">
        <v>0</v>
      </c>
      <c r="L86" s="550">
        <v>0</v>
      </c>
      <c r="M86" s="550">
        <v>0</v>
      </c>
      <c r="N86" s="550">
        <v>2235000</v>
      </c>
      <c r="O86" s="550">
        <v>0</v>
      </c>
      <c r="P86" s="550">
        <v>0</v>
      </c>
      <c r="Q86" s="550">
        <v>0</v>
      </c>
      <c r="R86" s="550">
        <v>0</v>
      </c>
      <c r="S86" s="549">
        <f t="shared" ref="S86" si="23">K86+M86+O86+Q86</f>
        <v>0</v>
      </c>
      <c r="T86" s="549">
        <f t="shared" si="21"/>
        <v>2235000</v>
      </c>
      <c r="U86" s="551">
        <f>IFERROR(S86/I86,0)/4</f>
        <v>0</v>
      </c>
      <c r="V86" s="551">
        <f t="shared" si="22"/>
        <v>3.4385990824248355E-2</v>
      </c>
      <c r="W86" s="546"/>
      <c r="X86" s="547"/>
      <c r="Y86" s="552"/>
      <c r="Z86" s="553"/>
      <c r="AA86" s="554" t="s">
        <v>0</v>
      </c>
      <c r="AB86" s="555"/>
      <c r="AC86" s="556"/>
      <c r="AD86" s="556"/>
      <c r="AE86" s="556"/>
      <c r="AF86" s="556"/>
      <c r="AG86" s="556"/>
      <c r="AH86" s="556"/>
    </row>
    <row r="87" spans="1:34" s="557" customFormat="1" ht="47.1" customHeight="1">
      <c r="A87" s="543"/>
      <c r="B87" s="544"/>
      <c r="C87" s="545" t="s">
        <v>282</v>
      </c>
      <c r="D87" s="558" t="s">
        <v>450</v>
      </c>
      <c r="E87" s="546"/>
      <c r="F87" s="547"/>
      <c r="G87" s="546"/>
      <c r="H87" s="547"/>
      <c r="I87" s="548">
        <v>4</v>
      </c>
      <c r="J87" s="559">
        <v>34970000</v>
      </c>
      <c r="K87" s="560">
        <v>1</v>
      </c>
      <c r="L87" s="550">
        <v>0</v>
      </c>
      <c r="M87" s="550">
        <v>1</v>
      </c>
      <c r="N87" s="550">
        <v>14533590</v>
      </c>
      <c r="O87" s="550">
        <v>0</v>
      </c>
      <c r="P87" s="550">
        <v>0</v>
      </c>
      <c r="Q87" s="550">
        <v>0</v>
      </c>
      <c r="R87" s="550">
        <v>0</v>
      </c>
      <c r="S87" s="549">
        <f>K87+M87+O87+Q87</f>
        <v>2</v>
      </c>
      <c r="T87" s="549">
        <f t="shared" si="21"/>
        <v>14533590</v>
      </c>
      <c r="U87" s="551">
        <f>IFERROR(S87/I87,0)</f>
        <v>0.5</v>
      </c>
      <c r="V87" s="551">
        <f>IFERROR(T87/J87,0)</f>
        <v>0.41560165856448383</v>
      </c>
      <c r="W87" s="546"/>
      <c r="X87" s="547"/>
      <c r="Y87" s="552"/>
      <c r="Z87" s="553"/>
      <c r="AA87" s="554" t="s">
        <v>0</v>
      </c>
      <c r="AB87" s="555"/>
      <c r="AC87" s="556"/>
      <c r="AD87" s="556"/>
      <c r="AE87" s="556"/>
      <c r="AF87" s="556"/>
      <c r="AG87" s="556"/>
      <c r="AH87" s="556"/>
    </row>
    <row r="88" spans="1:34" ht="14.45" customHeight="1">
      <c r="A88" s="167"/>
      <c r="B88" s="173"/>
      <c r="C88" s="191"/>
      <c r="D88" s="175"/>
      <c r="E88" s="176"/>
      <c r="F88" s="177"/>
      <c r="G88" s="176"/>
      <c r="H88" s="177"/>
      <c r="I88" s="178"/>
      <c r="J88" s="179">
        <f>SUM(J85:J87)</f>
        <v>119940200</v>
      </c>
      <c r="K88" s="745" t="s">
        <v>357</v>
      </c>
      <c r="L88" s="746"/>
      <c r="M88" s="746"/>
      <c r="N88" s="746"/>
      <c r="O88" s="746"/>
      <c r="P88" s="746"/>
      <c r="Q88" s="746"/>
      <c r="R88" s="746"/>
      <c r="S88" s="746"/>
      <c r="T88" s="746"/>
      <c r="U88" s="181">
        <f>IFERROR((0+U85*J85+U86*J86+U87*J87)/J88,0)</f>
        <v>0.14578098085545962</v>
      </c>
      <c r="V88" s="181">
        <f>IFERROR((0+V85*J85+V86*J86+V87*J87)/J88,0)</f>
        <v>0.13980792094727207</v>
      </c>
      <c r="W88" s="176"/>
      <c r="X88" s="177"/>
      <c r="Y88" s="182"/>
      <c r="Z88" s="183"/>
      <c r="AA88" s="172"/>
      <c r="AB88" s="172"/>
      <c r="AE88" s="102">
        <f>J88</f>
        <v>119940200</v>
      </c>
      <c r="AF88" s="193">
        <f>J88*U88</f>
        <v>17485000</v>
      </c>
      <c r="AG88" s="193">
        <f>J88*V88</f>
        <v>16768590.000000002</v>
      </c>
    </row>
    <row r="89" spans="1:34" ht="14.45" customHeight="1">
      <c r="A89" s="167"/>
      <c r="B89" s="173"/>
      <c r="C89" s="191"/>
      <c r="D89" s="175"/>
      <c r="E89" s="176"/>
      <c r="F89" s="177"/>
      <c r="G89" s="176"/>
      <c r="H89" s="177"/>
      <c r="I89" s="178"/>
      <c r="J89" s="179"/>
      <c r="K89" s="745" t="s">
        <v>358</v>
      </c>
      <c r="L89" s="746"/>
      <c r="M89" s="746"/>
      <c r="N89" s="746"/>
      <c r="O89" s="746"/>
      <c r="P89" s="746"/>
      <c r="Q89" s="746"/>
      <c r="R89" s="746"/>
      <c r="S89" s="746"/>
      <c r="T89" s="746"/>
      <c r="U89" s="181" t="str">
        <f>IF(U88&gt;0.9,"Sangat Tinggi",IF(U88&gt;0.75,"Tinggi",IF(U88&gt;0.65,"Sedang",IF(U88&gt;0.5,"Rendah","Sangat Rendah"))))</f>
        <v>Sangat Rendah</v>
      </c>
      <c r="V89" s="181" t="str">
        <f>IF(V88&gt;0.9,"Sangat Tinggi",IF(V88&gt;0.75,"Tinggi",IF(V88&gt;0.65,"Sedang",IF(V88&gt;0.5,"Rendah","Sangat Rendah"))))</f>
        <v>Sangat Rendah</v>
      </c>
      <c r="W89" s="176"/>
      <c r="X89" s="177"/>
      <c r="Y89" s="182"/>
      <c r="Z89" s="183"/>
      <c r="AA89" s="172"/>
      <c r="AB89" s="172"/>
    </row>
    <row r="90" spans="1:34">
      <c r="A90" s="197"/>
      <c r="B90" s="368" t="s">
        <v>404</v>
      </c>
      <c r="C90" s="368"/>
      <c r="D90" s="368"/>
      <c r="E90" s="368"/>
      <c r="F90" s="368"/>
      <c r="G90" s="368"/>
      <c r="H90" s="368"/>
      <c r="I90" s="747">
        <f>AE90</f>
        <v>4565959550</v>
      </c>
      <c r="J90" s="748"/>
      <c r="K90" s="749" t="s">
        <v>405</v>
      </c>
      <c r="L90" s="750"/>
      <c r="M90" s="750"/>
      <c r="N90" s="750"/>
      <c r="O90" s="750"/>
      <c r="P90" s="750"/>
      <c r="Q90" s="750"/>
      <c r="R90" s="750"/>
      <c r="S90" s="750"/>
      <c r="T90" s="751"/>
      <c r="U90" s="198">
        <f>AF90/I90</f>
        <v>0.36791224260765659</v>
      </c>
      <c r="V90" s="198">
        <f>AG90/I90</f>
        <v>0.2933390445826442</v>
      </c>
      <c r="W90" s="199"/>
      <c r="X90" s="199"/>
      <c r="Y90" s="199"/>
      <c r="Z90" s="200"/>
      <c r="AA90" s="201"/>
      <c r="AB90" s="166"/>
      <c r="AE90" s="102">
        <f>SUM(AE11:AE89)</f>
        <v>4565959550</v>
      </c>
      <c r="AF90" s="102">
        <f>SUM(AF11:AF89)</f>
        <v>1679872417.6963465</v>
      </c>
      <c r="AG90" s="102">
        <f>SUM(AG11:AG89)</f>
        <v>1339374212</v>
      </c>
    </row>
    <row r="91" spans="1:34" ht="33" customHeight="1" thickBot="1">
      <c r="A91" s="202"/>
      <c r="B91" s="203"/>
      <c r="C91" s="203"/>
      <c r="D91" s="203"/>
      <c r="E91" s="203"/>
      <c r="F91" s="203"/>
      <c r="G91" s="203"/>
      <c r="H91" s="203"/>
      <c r="I91" s="203"/>
      <c r="J91" s="203"/>
      <c r="K91" s="739" t="s">
        <v>406</v>
      </c>
      <c r="L91" s="740"/>
      <c r="M91" s="740"/>
      <c r="N91" s="740"/>
      <c r="O91" s="740"/>
      <c r="P91" s="740"/>
      <c r="Q91" s="740"/>
      <c r="R91" s="740"/>
      <c r="S91" s="740"/>
      <c r="T91" s="741"/>
      <c r="U91" s="204" t="str">
        <f>IF(U90&gt;0.9,"Sangat Tinggi",IF(U90&gt;0.75,"Tinggi",IF(U90&gt;0.65,"Sedang",IF(U90&gt;0.5,"Rendah","Sangat Rendah"))))</f>
        <v>Sangat Rendah</v>
      </c>
      <c r="V91" s="204" t="str">
        <f>IF(V90&gt;0.9,"Sangat Tinggi",IF(V90&gt;0.75,"Tinggi",IF(V90&gt;0.65,"Sedang",IF(V90&gt;0.5,"Rendah","Sangat Rendah"))))</f>
        <v>Sangat Rendah</v>
      </c>
      <c r="W91" s="205"/>
      <c r="X91" s="205"/>
      <c r="Y91" s="205"/>
      <c r="Z91" s="206"/>
      <c r="AA91" s="207"/>
      <c r="AB91" s="208"/>
    </row>
    <row r="92" spans="1:34" ht="15.75" customHeight="1">
      <c r="A92" s="742" t="s">
        <v>407</v>
      </c>
      <c r="B92" s="743"/>
      <c r="C92" s="743"/>
      <c r="D92" s="743"/>
      <c r="E92" s="743"/>
      <c r="F92" s="743"/>
      <c r="G92" s="743"/>
      <c r="H92" s="743"/>
      <c r="I92" s="743"/>
      <c r="J92" s="743"/>
      <c r="K92" s="743"/>
      <c r="L92" s="743"/>
      <c r="M92" s="743"/>
      <c r="N92" s="743"/>
      <c r="O92" s="743"/>
      <c r="P92" s="743"/>
      <c r="Q92" s="743"/>
      <c r="R92" s="743"/>
      <c r="S92" s="743"/>
      <c r="T92" s="743"/>
      <c r="U92" s="743"/>
      <c r="V92" s="743"/>
      <c r="W92" s="743"/>
      <c r="X92" s="743"/>
      <c r="Y92" s="743"/>
      <c r="Z92" s="743"/>
      <c r="AA92" s="743"/>
      <c r="AB92" s="744"/>
    </row>
    <row r="93" spans="1:34" ht="15.75" customHeight="1">
      <c r="A93" s="727" t="s">
        <v>408</v>
      </c>
      <c r="B93" s="728"/>
      <c r="C93" s="728"/>
      <c r="D93" s="728"/>
      <c r="E93" s="728"/>
      <c r="F93" s="728"/>
      <c r="G93" s="728"/>
      <c r="H93" s="728"/>
      <c r="I93" s="728"/>
      <c r="J93" s="728"/>
      <c r="K93" s="728"/>
      <c r="L93" s="728"/>
      <c r="M93" s="728"/>
      <c r="N93" s="728"/>
      <c r="O93" s="728"/>
      <c r="P93" s="728"/>
      <c r="Q93" s="728"/>
      <c r="R93" s="728"/>
      <c r="S93" s="728"/>
      <c r="T93" s="728"/>
      <c r="U93" s="728"/>
      <c r="V93" s="728"/>
      <c r="W93" s="728"/>
      <c r="X93" s="728"/>
      <c r="Y93" s="728"/>
      <c r="Z93" s="728"/>
      <c r="AA93" s="728"/>
      <c r="AB93" s="729"/>
    </row>
    <row r="94" spans="1:34" ht="15.75" customHeight="1">
      <c r="A94" s="727" t="s">
        <v>409</v>
      </c>
      <c r="B94" s="728"/>
      <c r="C94" s="728"/>
      <c r="D94" s="728"/>
      <c r="E94" s="728"/>
      <c r="F94" s="728"/>
      <c r="G94" s="728"/>
      <c r="H94" s="728"/>
      <c r="I94" s="728"/>
      <c r="J94" s="728"/>
      <c r="K94" s="728"/>
      <c r="L94" s="728"/>
      <c r="M94" s="728"/>
      <c r="N94" s="728"/>
      <c r="O94" s="728"/>
      <c r="P94" s="728"/>
      <c r="Q94" s="728"/>
      <c r="R94" s="728"/>
      <c r="S94" s="728"/>
      <c r="T94" s="728"/>
      <c r="U94" s="728"/>
      <c r="V94" s="728"/>
      <c r="W94" s="728"/>
      <c r="X94" s="728"/>
      <c r="Y94" s="728"/>
      <c r="Z94" s="728"/>
      <c r="AA94" s="728"/>
      <c r="AB94" s="729"/>
    </row>
    <row r="95" spans="1:34" ht="15.75" customHeight="1">
      <c r="A95" s="727" t="s">
        <v>410</v>
      </c>
      <c r="B95" s="728"/>
      <c r="C95" s="728"/>
      <c r="D95" s="728"/>
      <c r="E95" s="728"/>
      <c r="F95" s="728"/>
      <c r="G95" s="728"/>
      <c r="H95" s="728"/>
      <c r="I95" s="728"/>
      <c r="J95" s="728"/>
      <c r="K95" s="728"/>
      <c r="L95" s="728"/>
      <c r="M95" s="728"/>
      <c r="N95" s="728"/>
      <c r="O95" s="728"/>
      <c r="P95" s="728"/>
      <c r="Q95" s="728"/>
      <c r="R95" s="728"/>
      <c r="S95" s="728"/>
      <c r="T95" s="728"/>
      <c r="U95" s="728"/>
      <c r="V95" s="728"/>
      <c r="W95" s="728"/>
      <c r="X95" s="728"/>
      <c r="Y95" s="728"/>
      <c r="Z95" s="728"/>
      <c r="AA95" s="728"/>
      <c r="AB95" s="729"/>
    </row>
    <row r="96" spans="1:34" ht="15.75" customHeight="1">
      <c r="A96" s="727" t="s">
        <v>451</v>
      </c>
      <c r="B96" s="728"/>
      <c r="C96" s="728"/>
      <c r="D96" s="728"/>
      <c r="E96" s="728"/>
      <c r="F96" s="728"/>
      <c r="G96" s="728"/>
      <c r="H96" s="728"/>
      <c r="I96" s="728"/>
      <c r="J96" s="728"/>
      <c r="K96" s="728"/>
      <c r="L96" s="728"/>
      <c r="M96" s="728"/>
      <c r="N96" s="728"/>
      <c r="O96" s="728"/>
      <c r="P96" s="728"/>
      <c r="Q96" s="728"/>
      <c r="R96" s="728"/>
      <c r="S96" s="728"/>
      <c r="T96" s="728"/>
      <c r="U96" s="728"/>
      <c r="V96" s="728"/>
      <c r="W96" s="728"/>
      <c r="X96" s="728"/>
      <c r="Y96" s="728"/>
      <c r="Z96" s="728"/>
      <c r="AA96" s="728"/>
      <c r="AB96" s="729"/>
    </row>
    <row r="97" spans="1:28" ht="15.75" customHeight="1">
      <c r="A97" s="733" t="s">
        <v>411</v>
      </c>
      <c r="B97" s="734"/>
      <c r="C97" s="734"/>
      <c r="D97" s="734"/>
      <c r="E97" s="734"/>
      <c r="F97" s="734"/>
      <c r="G97" s="734"/>
      <c r="H97" s="734"/>
      <c r="I97" s="734"/>
      <c r="J97" s="734"/>
      <c r="K97" s="734"/>
      <c r="L97" s="734"/>
      <c r="M97" s="734"/>
      <c r="N97" s="734"/>
      <c r="O97" s="734"/>
      <c r="P97" s="734"/>
      <c r="Q97" s="734"/>
      <c r="R97" s="734"/>
      <c r="S97" s="734"/>
      <c r="T97" s="734"/>
      <c r="U97" s="734"/>
      <c r="V97" s="734"/>
      <c r="W97" s="734"/>
      <c r="X97" s="734"/>
      <c r="Y97" s="734"/>
      <c r="Z97" s="734"/>
      <c r="AA97" s="734"/>
      <c r="AB97" s="735"/>
    </row>
    <row r="98" spans="1:28" ht="15.75" customHeight="1">
      <c r="A98" s="727" t="s">
        <v>412</v>
      </c>
      <c r="B98" s="728"/>
      <c r="C98" s="728"/>
      <c r="D98" s="728"/>
      <c r="E98" s="728"/>
      <c r="F98" s="728"/>
      <c r="G98" s="728"/>
      <c r="H98" s="728"/>
      <c r="I98" s="728"/>
      <c r="J98" s="728"/>
      <c r="K98" s="728"/>
      <c r="L98" s="728"/>
      <c r="M98" s="728"/>
      <c r="N98" s="728"/>
      <c r="O98" s="728"/>
      <c r="P98" s="728"/>
      <c r="Q98" s="728"/>
      <c r="R98" s="728"/>
      <c r="S98" s="728"/>
      <c r="T98" s="728"/>
      <c r="U98" s="728"/>
      <c r="V98" s="728"/>
      <c r="W98" s="728"/>
      <c r="X98" s="728"/>
      <c r="Y98" s="728"/>
      <c r="Z98" s="728"/>
      <c r="AA98" s="728"/>
      <c r="AB98" s="729"/>
    </row>
    <row r="99" spans="1:28" ht="15.75" customHeight="1">
      <c r="A99" s="727" t="s">
        <v>413</v>
      </c>
      <c r="B99" s="728"/>
      <c r="C99" s="728"/>
      <c r="D99" s="728"/>
      <c r="E99" s="728"/>
      <c r="F99" s="728"/>
      <c r="G99" s="728"/>
      <c r="H99" s="728"/>
      <c r="I99" s="728"/>
      <c r="J99" s="728"/>
      <c r="K99" s="728"/>
      <c r="L99" s="728"/>
      <c r="M99" s="728"/>
      <c r="N99" s="728"/>
      <c r="O99" s="728"/>
      <c r="P99" s="728"/>
      <c r="Q99" s="728"/>
      <c r="R99" s="728"/>
      <c r="S99" s="728"/>
      <c r="T99" s="728"/>
      <c r="U99" s="728"/>
      <c r="V99" s="728"/>
      <c r="W99" s="728"/>
      <c r="X99" s="728"/>
      <c r="Y99" s="728"/>
      <c r="Z99" s="728"/>
      <c r="AA99" s="728"/>
      <c r="AB99" s="729"/>
    </row>
    <row r="100" spans="1:28" ht="15.75" customHeight="1">
      <c r="A100" s="727" t="s">
        <v>414</v>
      </c>
      <c r="B100" s="728"/>
      <c r="C100" s="728"/>
      <c r="D100" s="728"/>
      <c r="E100" s="728"/>
      <c r="F100" s="728"/>
      <c r="G100" s="728"/>
      <c r="H100" s="728"/>
      <c r="I100" s="728"/>
      <c r="J100" s="728"/>
      <c r="K100" s="728"/>
      <c r="L100" s="728"/>
      <c r="M100" s="728"/>
      <c r="N100" s="728"/>
      <c r="O100" s="728"/>
      <c r="P100" s="728"/>
      <c r="Q100" s="728"/>
      <c r="R100" s="728"/>
      <c r="S100" s="728"/>
      <c r="T100" s="728"/>
      <c r="U100" s="728"/>
      <c r="V100" s="728"/>
      <c r="W100" s="728"/>
      <c r="X100" s="728"/>
      <c r="Y100" s="728"/>
      <c r="Z100" s="728"/>
      <c r="AA100" s="728"/>
      <c r="AB100" s="729"/>
    </row>
    <row r="101" spans="1:28" ht="15.75" customHeight="1">
      <c r="A101" s="736" t="s">
        <v>415</v>
      </c>
      <c r="B101" s="737"/>
      <c r="C101" s="737"/>
      <c r="D101" s="737"/>
      <c r="E101" s="737"/>
      <c r="F101" s="737"/>
      <c r="G101" s="737"/>
      <c r="H101" s="737"/>
      <c r="I101" s="737"/>
      <c r="J101" s="737"/>
      <c r="K101" s="737"/>
      <c r="L101" s="737"/>
      <c r="M101" s="737"/>
      <c r="N101" s="737"/>
      <c r="O101" s="737"/>
      <c r="P101" s="737"/>
      <c r="Q101" s="737"/>
      <c r="R101" s="737"/>
      <c r="S101" s="737"/>
      <c r="T101" s="737"/>
      <c r="U101" s="737"/>
      <c r="V101" s="737"/>
      <c r="W101" s="737"/>
      <c r="X101" s="737"/>
      <c r="Y101" s="737"/>
      <c r="Z101" s="737"/>
      <c r="AA101" s="737"/>
      <c r="AB101" s="738"/>
    </row>
    <row r="102" spans="1:28" ht="21" customHeight="1">
      <c r="A102" s="730" t="s">
        <v>416</v>
      </c>
      <c r="B102" s="731"/>
      <c r="C102" s="731"/>
      <c r="D102" s="731"/>
      <c r="E102" s="731"/>
      <c r="F102" s="731"/>
      <c r="G102" s="731"/>
      <c r="H102" s="731"/>
      <c r="I102" s="731"/>
      <c r="J102" s="731"/>
      <c r="K102" s="731"/>
      <c r="L102" s="731"/>
      <c r="M102" s="731"/>
      <c r="N102" s="731"/>
      <c r="O102" s="731"/>
      <c r="P102" s="731"/>
      <c r="Q102" s="731"/>
      <c r="R102" s="731"/>
      <c r="S102" s="731"/>
      <c r="T102" s="731"/>
      <c r="U102" s="731"/>
      <c r="V102" s="731"/>
      <c r="W102" s="731"/>
      <c r="X102" s="731"/>
      <c r="Y102" s="731"/>
      <c r="Z102" s="731"/>
      <c r="AA102" s="731"/>
      <c r="AB102" s="732"/>
    </row>
    <row r="103" spans="1:28" ht="11.25" customHeight="1">
      <c r="A103" s="209"/>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row>
    <row r="104" spans="1:28" ht="39" customHeight="1">
      <c r="A104" s="210" t="s">
        <v>210</v>
      </c>
      <c r="B104" s="210" t="s">
        <v>417</v>
      </c>
      <c r="C104" s="210" t="s">
        <v>418</v>
      </c>
    </row>
    <row r="105" spans="1:28" ht="19.5" customHeight="1">
      <c r="A105" s="211" t="s">
        <v>419</v>
      </c>
      <c r="B105" s="211" t="s">
        <v>420</v>
      </c>
      <c r="C105" s="211" t="s">
        <v>421</v>
      </c>
    </row>
    <row r="106" spans="1:28" ht="19.5" customHeight="1">
      <c r="A106" s="211" t="s">
        <v>422</v>
      </c>
      <c r="B106" s="211" t="s">
        <v>423</v>
      </c>
      <c r="C106" s="211" t="s">
        <v>424</v>
      </c>
    </row>
    <row r="107" spans="1:28" ht="19.5" customHeight="1">
      <c r="A107" s="211" t="s">
        <v>425</v>
      </c>
      <c r="B107" s="211" t="s">
        <v>426</v>
      </c>
      <c r="C107" s="211" t="s">
        <v>427</v>
      </c>
    </row>
    <row r="108" spans="1:28" ht="19.5" customHeight="1">
      <c r="A108" s="211" t="s">
        <v>428</v>
      </c>
      <c r="B108" s="211" t="s">
        <v>429</v>
      </c>
      <c r="C108" s="211" t="s">
        <v>430</v>
      </c>
    </row>
    <row r="109" spans="1:28" ht="19.5" customHeight="1">
      <c r="A109" s="211" t="s">
        <v>431</v>
      </c>
      <c r="B109" s="212" t="s">
        <v>432</v>
      </c>
      <c r="C109" s="211" t="s">
        <v>433</v>
      </c>
    </row>
    <row r="110" spans="1:28" ht="15.75" customHeight="1">
      <c r="E110" s="102" t="s">
        <v>723</v>
      </c>
      <c r="F110" s="192"/>
      <c r="H110" s="192"/>
    </row>
    <row r="111" spans="1:28" ht="15.75" customHeight="1">
      <c r="E111" s="102" t="s">
        <v>434</v>
      </c>
      <c r="F111" s="192"/>
      <c r="H111" s="192"/>
      <c r="T111" s="102" t="s">
        <v>435</v>
      </c>
    </row>
    <row r="112" spans="1:28" ht="15.75" customHeight="1">
      <c r="D112" s="213" t="s">
        <v>231</v>
      </c>
      <c r="E112" s="102" t="s">
        <v>206</v>
      </c>
      <c r="F112" s="192"/>
      <c r="H112" s="192"/>
      <c r="S112" s="213"/>
      <c r="T112" s="102" t="s">
        <v>436</v>
      </c>
    </row>
    <row r="113" spans="5:20" ht="15.75" customHeight="1">
      <c r="F113" s="192"/>
      <c r="H113" s="192"/>
    </row>
    <row r="114" spans="5:20" ht="15.75" customHeight="1">
      <c r="F114" s="192"/>
      <c r="H114" s="192"/>
    </row>
    <row r="115" spans="5:20" ht="15.75" customHeight="1">
      <c r="F115" s="192"/>
      <c r="H115" s="192"/>
    </row>
    <row r="116" spans="5:20" ht="15.75" customHeight="1">
      <c r="E116" s="214" t="s">
        <v>25</v>
      </c>
      <c r="F116" s="192"/>
      <c r="H116" s="192"/>
      <c r="T116" s="214" t="s">
        <v>437</v>
      </c>
    </row>
    <row r="117" spans="5:20" ht="15.75" customHeight="1">
      <c r="E117" s="102" t="s">
        <v>26</v>
      </c>
      <c r="F117" s="192"/>
      <c r="H117" s="192"/>
      <c r="T117" s="102" t="s">
        <v>438</v>
      </c>
    </row>
    <row r="118" spans="5:20" ht="15.75" customHeight="1">
      <c r="E118" s="102" t="s">
        <v>46</v>
      </c>
      <c r="F118" s="192"/>
      <c r="H118" s="192"/>
      <c r="T118" s="102" t="s">
        <v>439</v>
      </c>
    </row>
  </sheetData>
  <mergeCells count="77">
    <mergeCell ref="A1:Z1"/>
    <mergeCell ref="A2:Z2"/>
    <mergeCell ref="A3:Z3"/>
    <mergeCell ref="E5:F5"/>
    <mergeCell ref="G5:H5"/>
    <mergeCell ref="I5:J5"/>
    <mergeCell ref="K5:R5"/>
    <mergeCell ref="S5:T5"/>
    <mergeCell ref="U5:V5"/>
    <mergeCell ref="W5:X5"/>
    <mergeCell ref="Y5:Z5"/>
    <mergeCell ref="W6:X6"/>
    <mergeCell ref="E6:F6"/>
    <mergeCell ref="G6:H6"/>
    <mergeCell ref="I6:J6"/>
    <mergeCell ref="K6:L6"/>
    <mergeCell ref="M6:N6"/>
    <mergeCell ref="K25:T25"/>
    <mergeCell ref="K26:T26"/>
    <mergeCell ref="K29:T29"/>
    <mergeCell ref="Y6:Z6"/>
    <mergeCell ref="A7:A8"/>
    <mergeCell ref="B7:B8"/>
    <mergeCell ref="C7:C8"/>
    <mergeCell ref="D7:D8"/>
    <mergeCell ref="E7:F7"/>
    <mergeCell ref="G7:H7"/>
    <mergeCell ref="I7:J7"/>
    <mergeCell ref="K7:L7"/>
    <mergeCell ref="O6:P6"/>
    <mergeCell ref="Q6:R6"/>
    <mergeCell ref="S6:T6"/>
    <mergeCell ref="U6:V6"/>
    <mergeCell ref="K22:T22"/>
    <mergeCell ref="M7:N7"/>
    <mergeCell ref="O7:P7"/>
    <mergeCell ref="Q7:R7"/>
    <mergeCell ref="S7:T7"/>
    <mergeCell ref="Y7:Z7"/>
    <mergeCell ref="C9:T9"/>
    <mergeCell ref="K16:T16"/>
    <mergeCell ref="K17:T17"/>
    <mergeCell ref="K21:T21"/>
    <mergeCell ref="U7:V7"/>
    <mergeCell ref="W7:X7"/>
    <mergeCell ref="K30:T30"/>
    <mergeCell ref="K38:T38"/>
    <mergeCell ref="K82:T82"/>
    <mergeCell ref="K45:T45"/>
    <mergeCell ref="K46:T46"/>
    <mergeCell ref="K51:T51"/>
    <mergeCell ref="K52:T52"/>
    <mergeCell ref="K57:T57"/>
    <mergeCell ref="K58:T58"/>
    <mergeCell ref="C59:T59"/>
    <mergeCell ref="K64:T64"/>
    <mergeCell ref="K65:T65"/>
    <mergeCell ref="K72:T72"/>
    <mergeCell ref="K73:T73"/>
    <mergeCell ref="K39:T39"/>
    <mergeCell ref="K83:T83"/>
    <mergeCell ref="K88:T88"/>
    <mergeCell ref="K89:T89"/>
    <mergeCell ref="I90:J90"/>
    <mergeCell ref="K90:T90"/>
    <mergeCell ref="K91:T91"/>
    <mergeCell ref="A92:AB92"/>
    <mergeCell ref="A93:AB93"/>
    <mergeCell ref="A94:AB94"/>
    <mergeCell ref="A95:AB95"/>
    <mergeCell ref="A96:AB96"/>
    <mergeCell ref="A102:AB102"/>
    <mergeCell ref="A97:AB97"/>
    <mergeCell ref="A98:AB98"/>
    <mergeCell ref="A99:AB99"/>
    <mergeCell ref="A100:AB100"/>
    <mergeCell ref="A101:AB101"/>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25"/>
  <sheetViews>
    <sheetView tabSelected="1" topLeftCell="A61" workbookViewId="0">
      <selection activeCell="H13" sqref="H13"/>
    </sheetView>
  </sheetViews>
  <sheetFormatPr defaultColWidth="9.140625" defaultRowHeight="15"/>
  <cols>
    <col min="1" max="3" width="2.28515625" style="253" customWidth="1"/>
    <col min="4" max="4" width="4" style="253" customWidth="1"/>
    <col min="5" max="5" width="3" style="253" customWidth="1"/>
    <col min="6" max="6" width="44.42578125" style="435" customWidth="1"/>
    <col min="7" max="7" width="38.5703125" style="436" customWidth="1"/>
    <col min="8" max="8" width="37.7109375" style="436" customWidth="1"/>
    <col min="9" max="9" width="29.42578125" style="435" customWidth="1"/>
    <col min="10" max="16384" width="9.140625" style="253"/>
  </cols>
  <sheetData>
    <row r="1" spans="1:9" ht="15.75">
      <c r="A1" s="773" t="s">
        <v>646</v>
      </c>
      <c r="B1" s="773"/>
      <c r="C1" s="773"/>
      <c r="D1" s="773"/>
      <c r="E1" s="773"/>
      <c r="F1" s="773"/>
      <c r="G1" s="773"/>
      <c r="H1" s="773"/>
      <c r="I1" s="773"/>
    </row>
    <row r="2" spans="1:9" ht="15.75">
      <c r="A2" s="773" t="s">
        <v>44</v>
      </c>
      <c r="B2" s="773"/>
      <c r="C2" s="773"/>
      <c r="D2" s="773"/>
      <c r="E2" s="773"/>
      <c r="F2" s="773"/>
      <c r="G2" s="773"/>
      <c r="H2" s="773"/>
      <c r="I2" s="773"/>
    </row>
    <row r="3" spans="1:9" ht="15.75">
      <c r="A3" s="774" t="s">
        <v>718</v>
      </c>
      <c r="B3" s="774"/>
      <c r="C3" s="774"/>
      <c r="D3" s="774"/>
      <c r="E3" s="774"/>
      <c r="F3" s="774"/>
      <c r="G3" s="774"/>
      <c r="H3" s="774"/>
      <c r="I3" s="774"/>
    </row>
    <row r="4" spans="1:9" ht="15.75" customHeight="1" thickBot="1">
      <c r="F4" s="253"/>
      <c r="G4" s="253"/>
      <c r="H4" s="253"/>
      <c r="I4" s="253"/>
    </row>
    <row r="5" spans="1:9" ht="63.75" customHeight="1" thickTop="1" thickBot="1">
      <c r="A5" s="775" t="s">
        <v>647</v>
      </c>
      <c r="B5" s="776"/>
      <c r="C5" s="776"/>
      <c r="D5" s="776"/>
      <c r="E5" s="776"/>
      <c r="F5" s="777" t="s">
        <v>648</v>
      </c>
      <c r="G5" s="777" t="s">
        <v>649</v>
      </c>
      <c r="H5" s="777" t="s">
        <v>650</v>
      </c>
      <c r="I5" s="778" t="s">
        <v>651</v>
      </c>
    </row>
    <row r="6" spans="1:9" ht="16.5" thickTop="1" thickBot="1">
      <c r="A6" s="775"/>
      <c r="B6" s="776"/>
      <c r="C6" s="776"/>
      <c r="D6" s="776"/>
      <c r="E6" s="776"/>
      <c r="F6" s="777"/>
      <c r="G6" s="777"/>
      <c r="H6" s="777"/>
      <c r="I6" s="778"/>
    </row>
    <row r="7" spans="1:9" ht="15" customHeight="1" thickTop="1" thickBot="1">
      <c r="A7" s="771" t="s">
        <v>652</v>
      </c>
      <c r="B7" s="772"/>
      <c r="C7" s="772"/>
      <c r="D7" s="772"/>
      <c r="E7" s="772"/>
      <c r="F7" s="369" t="s">
        <v>653</v>
      </c>
      <c r="G7" s="370" t="s">
        <v>654</v>
      </c>
      <c r="H7" s="369" t="s">
        <v>655</v>
      </c>
      <c r="I7" s="371" t="s">
        <v>656</v>
      </c>
    </row>
    <row r="8" spans="1:9" ht="14.25" customHeight="1" thickTop="1">
      <c r="A8" s="372"/>
      <c r="B8" s="373"/>
      <c r="C8" s="373"/>
      <c r="D8" s="373"/>
      <c r="E8" s="373"/>
      <c r="F8" s="373"/>
      <c r="G8" s="373"/>
      <c r="H8" s="373"/>
      <c r="I8" s="374"/>
    </row>
    <row r="9" spans="1:9" ht="15" customHeight="1">
      <c r="A9" s="375">
        <v>1</v>
      </c>
      <c r="B9" s="376"/>
      <c r="C9" s="376"/>
      <c r="D9" s="376"/>
      <c r="E9" s="377"/>
      <c r="F9" s="378" t="s">
        <v>657</v>
      </c>
      <c r="G9" s="379"/>
      <c r="H9" s="379"/>
      <c r="I9" s="380"/>
    </row>
    <row r="10" spans="1:9" ht="38.25">
      <c r="A10" s="375">
        <v>1</v>
      </c>
      <c r="B10" s="376" t="s">
        <v>66</v>
      </c>
      <c r="C10" s="376"/>
      <c r="D10" s="376"/>
      <c r="E10" s="376"/>
      <c r="F10" s="381" t="s">
        <v>67</v>
      </c>
      <c r="G10" s="382"/>
      <c r="H10" s="382"/>
      <c r="I10" s="383"/>
    </row>
    <row r="11" spans="1:9" ht="25.5">
      <c r="A11" s="384">
        <v>1</v>
      </c>
      <c r="B11" s="385" t="s">
        <v>66</v>
      </c>
      <c r="C11" s="385" t="s">
        <v>68</v>
      </c>
      <c r="D11" s="385"/>
      <c r="E11" s="385"/>
      <c r="F11" s="386" t="s">
        <v>69</v>
      </c>
      <c r="G11" s="387"/>
      <c r="H11" s="387"/>
      <c r="I11" s="388">
        <f>I12+I17+I20+I22+I24+I31+I36+I40</f>
        <v>0</v>
      </c>
    </row>
    <row r="12" spans="1:9" ht="25.5">
      <c r="A12" s="389">
        <v>1</v>
      </c>
      <c r="B12" s="390" t="s">
        <v>66</v>
      </c>
      <c r="C12" s="390" t="s">
        <v>68</v>
      </c>
      <c r="D12" s="390" t="s">
        <v>70</v>
      </c>
      <c r="E12" s="390"/>
      <c r="F12" s="391" t="s">
        <v>658</v>
      </c>
      <c r="G12" s="382"/>
      <c r="H12" s="382"/>
      <c r="I12" s="383"/>
    </row>
    <row r="13" spans="1:9" ht="153.6" customHeight="1">
      <c r="A13" s="375">
        <v>1</v>
      </c>
      <c r="B13" s="376" t="s">
        <v>66</v>
      </c>
      <c r="C13" s="376" t="s">
        <v>68</v>
      </c>
      <c r="D13" s="376" t="s">
        <v>70</v>
      </c>
      <c r="E13" s="376" t="s">
        <v>68</v>
      </c>
      <c r="F13" s="392" t="s">
        <v>306</v>
      </c>
      <c r="G13" s="341" t="s">
        <v>752</v>
      </c>
      <c r="H13" s="341" t="s">
        <v>801</v>
      </c>
      <c r="I13" s="342" t="s">
        <v>802</v>
      </c>
    </row>
    <row r="14" spans="1:9" ht="62.45" customHeight="1">
      <c r="A14" s="375">
        <v>1</v>
      </c>
      <c r="B14" s="376" t="s">
        <v>66</v>
      </c>
      <c r="C14" s="376" t="s">
        <v>68</v>
      </c>
      <c r="D14" s="376" t="s">
        <v>70</v>
      </c>
      <c r="E14" s="376" t="s">
        <v>73</v>
      </c>
      <c r="F14" s="392" t="s">
        <v>83</v>
      </c>
      <c r="G14" s="341" t="s">
        <v>708</v>
      </c>
      <c r="H14" s="341" t="s">
        <v>803</v>
      </c>
      <c r="I14" s="342" t="s">
        <v>804</v>
      </c>
    </row>
    <row r="15" spans="1:9" ht="51">
      <c r="A15" s="375">
        <v>1</v>
      </c>
      <c r="B15" s="376" t="s">
        <v>66</v>
      </c>
      <c r="C15" s="376" t="s">
        <v>68</v>
      </c>
      <c r="D15" s="376" t="s">
        <v>70</v>
      </c>
      <c r="E15" s="376" t="s">
        <v>80</v>
      </c>
      <c r="F15" s="392" t="s">
        <v>84</v>
      </c>
      <c r="G15" s="341" t="s">
        <v>753</v>
      </c>
      <c r="H15" s="341" t="s">
        <v>805</v>
      </c>
      <c r="I15" s="342" t="s">
        <v>665</v>
      </c>
    </row>
    <row r="16" spans="1:9" ht="118.5" customHeight="1">
      <c r="A16" s="375">
        <v>1</v>
      </c>
      <c r="B16" s="376" t="s">
        <v>66</v>
      </c>
      <c r="C16" s="376" t="s">
        <v>68</v>
      </c>
      <c r="D16" s="376" t="s">
        <v>70</v>
      </c>
      <c r="E16" s="376" t="s">
        <v>85</v>
      </c>
      <c r="F16" s="392" t="s">
        <v>86</v>
      </c>
      <c r="G16" s="341" t="s">
        <v>754</v>
      </c>
      <c r="H16" s="341" t="s">
        <v>806</v>
      </c>
      <c r="I16" s="342" t="s">
        <v>659</v>
      </c>
    </row>
    <row r="17" spans="1:9" ht="20.25" customHeight="1">
      <c r="A17" s="389">
        <v>1</v>
      </c>
      <c r="B17" s="390" t="s">
        <v>66</v>
      </c>
      <c r="C17" s="390" t="s">
        <v>68</v>
      </c>
      <c r="D17" s="390" t="s">
        <v>87</v>
      </c>
      <c r="E17" s="390"/>
      <c r="F17" s="393" t="s">
        <v>88</v>
      </c>
      <c r="G17" s="382"/>
      <c r="H17" s="382"/>
      <c r="I17" s="383"/>
    </row>
    <row r="18" spans="1:9" ht="110.25" customHeight="1">
      <c r="A18" s="375">
        <v>1</v>
      </c>
      <c r="B18" s="376" t="s">
        <v>66</v>
      </c>
      <c r="C18" s="376" t="s">
        <v>68</v>
      </c>
      <c r="D18" s="376" t="s">
        <v>89</v>
      </c>
      <c r="E18" s="376" t="s">
        <v>68</v>
      </c>
      <c r="F18" s="394" t="s">
        <v>90</v>
      </c>
      <c r="G18" s="395" t="s">
        <v>709</v>
      </c>
      <c r="H18" s="396" t="s">
        <v>807</v>
      </c>
      <c r="I18" s="397" t="s">
        <v>808</v>
      </c>
    </row>
    <row r="19" spans="1:9" ht="102">
      <c r="A19" s="375">
        <v>1</v>
      </c>
      <c r="B19" s="376" t="s">
        <v>66</v>
      </c>
      <c r="C19" s="376" t="s">
        <v>68</v>
      </c>
      <c r="D19" s="376" t="s">
        <v>89</v>
      </c>
      <c r="E19" s="376" t="s">
        <v>85</v>
      </c>
      <c r="F19" s="394" t="s">
        <v>104</v>
      </c>
      <c r="G19" s="341" t="s">
        <v>755</v>
      </c>
      <c r="H19" s="341" t="s">
        <v>809</v>
      </c>
      <c r="I19" s="342" t="s">
        <v>659</v>
      </c>
    </row>
    <row r="20" spans="1:9" ht="21" customHeight="1">
      <c r="A20" s="389">
        <v>1</v>
      </c>
      <c r="B20" s="390" t="s">
        <v>66</v>
      </c>
      <c r="C20" s="390" t="s">
        <v>68</v>
      </c>
      <c r="D20" s="390" t="s">
        <v>108</v>
      </c>
      <c r="E20" s="390"/>
      <c r="F20" s="393" t="s">
        <v>660</v>
      </c>
      <c r="G20" s="382"/>
      <c r="H20" s="382"/>
      <c r="I20" s="383"/>
    </row>
    <row r="21" spans="1:9" ht="63.75">
      <c r="A21" s="375">
        <v>1</v>
      </c>
      <c r="B21" s="376" t="s">
        <v>66</v>
      </c>
      <c r="C21" s="376" t="s">
        <v>68</v>
      </c>
      <c r="D21" s="376" t="s">
        <v>108</v>
      </c>
      <c r="E21" s="376" t="s">
        <v>97</v>
      </c>
      <c r="F21" s="394" t="s">
        <v>110</v>
      </c>
      <c r="G21" s="341" t="s">
        <v>756</v>
      </c>
      <c r="H21" s="341" t="s">
        <v>810</v>
      </c>
      <c r="I21" s="342" t="s">
        <v>665</v>
      </c>
    </row>
    <row r="22" spans="1:9" ht="19.5" customHeight="1">
      <c r="A22" s="389">
        <v>1</v>
      </c>
      <c r="B22" s="390" t="s">
        <v>66</v>
      </c>
      <c r="C22" s="390" t="s">
        <v>68</v>
      </c>
      <c r="D22" s="390" t="s">
        <v>113</v>
      </c>
      <c r="E22" s="390"/>
      <c r="F22" s="393" t="s">
        <v>114</v>
      </c>
      <c r="G22" s="382"/>
      <c r="H22" s="382"/>
      <c r="I22" s="383"/>
    </row>
    <row r="23" spans="1:9" ht="127.5">
      <c r="A23" s="375">
        <v>1</v>
      </c>
      <c r="B23" s="376" t="s">
        <v>66</v>
      </c>
      <c r="C23" s="376" t="s">
        <v>68</v>
      </c>
      <c r="D23" s="376" t="s">
        <v>113</v>
      </c>
      <c r="E23" s="376" t="s">
        <v>115</v>
      </c>
      <c r="F23" s="394" t="s">
        <v>710</v>
      </c>
      <c r="G23" s="341" t="s">
        <v>757</v>
      </c>
      <c r="H23" s="341" t="s">
        <v>811</v>
      </c>
      <c r="I23" s="342" t="s">
        <v>659</v>
      </c>
    </row>
    <row r="24" spans="1:9" ht="17.25" customHeight="1">
      <c r="A24" s="389">
        <v>1</v>
      </c>
      <c r="B24" s="390" t="s">
        <v>66</v>
      </c>
      <c r="C24" s="390" t="s">
        <v>68</v>
      </c>
      <c r="D24" s="390" t="s">
        <v>117</v>
      </c>
      <c r="E24" s="390"/>
      <c r="F24" s="393" t="s">
        <v>118</v>
      </c>
      <c r="G24" s="382"/>
      <c r="H24" s="382"/>
      <c r="I24" s="383"/>
    </row>
    <row r="25" spans="1:9" ht="90.6" customHeight="1">
      <c r="A25" s="375">
        <v>1</v>
      </c>
      <c r="B25" s="376" t="s">
        <v>66</v>
      </c>
      <c r="C25" s="376" t="s">
        <v>68</v>
      </c>
      <c r="D25" s="376" t="s">
        <v>117</v>
      </c>
      <c r="E25" s="376" t="s">
        <v>68</v>
      </c>
      <c r="F25" s="394" t="s">
        <v>119</v>
      </c>
      <c r="G25" s="341" t="s">
        <v>661</v>
      </c>
      <c r="H25" s="341" t="s">
        <v>812</v>
      </c>
      <c r="I25" s="342" t="s">
        <v>662</v>
      </c>
    </row>
    <row r="26" spans="1:9" ht="89.25">
      <c r="A26" s="375">
        <v>1</v>
      </c>
      <c r="B26" s="376" t="s">
        <v>66</v>
      </c>
      <c r="C26" s="376" t="s">
        <v>68</v>
      </c>
      <c r="D26" s="376" t="s">
        <v>117</v>
      </c>
      <c r="E26" s="376" t="s">
        <v>80</v>
      </c>
      <c r="F26" s="394" t="s">
        <v>122</v>
      </c>
      <c r="G26" s="341" t="s">
        <v>758</v>
      </c>
      <c r="H26" s="341" t="s">
        <v>813</v>
      </c>
      <c r="I26" s="342" t="s">
        <v>663</v>
      </c>
    </row>
    <row r="27" spans="1:9" ht="51">
      <c r="A27" s="375">
        <v>1</v>
      </c>
      <c r="B27" s="376" t="s">
        <v>66</v>
      </c>
      <c r="C27" s="376" t="s">
        <v>68</v>
      </c>
      <c r="D27" s="376" t="s">
        <v>117</v>
      </c>
      <c r="E27" s="376" t="s">
        <v>66</v>
      </c>
      <c r="F27" s="394" t="s">
        <v>127</v>
      </c>
      <c r="G27" s="341" t="s">
        <v>664</v>
      </c>
      <c r="H27" s="341" t="s">
        <v>814</v>
      </c>
      <c r="I27" s="342" t="s">
        <v>663</v>
      </c>
    </row>
    <row r="28" spans="1:9" ht="76.5">
      <c r="A28" s="375">
        <v>1</v>
      </c>
      <c r="B28" s="376" t="s">
        <v>66</v>
      </c>
      <c r="C28" s="376" t="s">
        <v>68</v>
      </c>
      <c r="D28" s="376" t="s">
        <v>117</v>
      </c>
      <c r="E28" s="376" t="s">
        <v>97</v>
      </c>
      <c r="F28" s="394" t="s">
        <v>128</v>
      </c>
      <c r="G28" s="341" t="s">
        <v>759</v>
      </c>
      <c r="H28" s="341" t="s">
        <v>815</v>
      </c>
      <c r="I28" s="342" t="s">
        <v>663</v>
      </c>
    </row>
    <row r="29" spans="1:9" ht="82.5" customHeight="1">
      <c r="A29" s="375">
        <v>1</v>
      </c>
      <c r="B29" s="376" t="s">
        <v>66</v>
      </c>
      <c r="C29" s="376" t="s">
        <v>68</v>
      </c>
      <c r="D29" s="376" t="s">
        <v>117</v>
      </c>
      <c r="E29" s="376" t="s">
        <v>100</v>
      </c>
      <c r="F29" s="394" t="s">
        <v>131</v>
      </c>
      <c r="G29" s="341" t="s">
        <v>760</v>
      </c>
      <c r="H29" s="341" t="s">
        <v>816</v>
      </c>
      <c r="I29" s="342" t="s">
        <v>663</v>
      </c>
    </row>
    <row r="30" spans="1:9" ht="73.5" customHeight="1">
      <c r="A30" s="375">
        <v>1</v>
      </c>
      <c r="B30" s="376" t="s">
        <v>66</v>
      </c>
      <c r="C30" s="376" t="s">
        <v>68</v>
      </c>
      <c r="D30" s="376" t="s">
        <v>117</v>
      </c>
      <c r="E30" s="376" t="s">
        <v>134</v>
      </c>
      <c r="F30" s="394" t="s">
        <v>135</v>
      </c>
      <c r="G30" s="341" t="s">
        <v>761</v>
      </c>
      <c r="H30" s="341" t="s">
        <v>817</v>
      </c>
      <c r="I30" s="342" t="s">
        <v>663</v>
      </c>
    </row>
    <row r="31" spans="1:9" ht="25.5">
      <c r="A31" s="389">
        <v>1</v>
      </c>
      <c r="B31" s="390" t="s">
        <v>66</v>
      </c>
      <c r="C31" s="390" t="s">
        <v>68</v>
      </c>
      <c r="D31" s="390" t="s">
        <v>136</v>
      </c>
      <c r="E31" s="390"/>
      <c r="F31" s="393" t="s">
        <v>137</v>
      </c>
      <c r="G31" s="382"/>
      <c r="H31" s="382"/>
      <c r="I31" s="383"/>
    </row>
    <row r="32" spans="1:9" ht="68.45" customHeight="1">
      <c r="A32" s="398">
        <v>1</v>
      </c>
      <c r="B32" s="398" t="s">
        <v>66</v>
      </c>
      <c r="C32" s="398" t="s">
        <v>68</v>
      </c>
      <c r="D32" s="399" t="s">
        <v>136</v>
      </c>
      <c r="E32" s="399" t="s">
        <v>66</v>
      </c>
      <c r="F32" s="394" t="s">
        <v>138</v>
      </c>
      <c r="G32" s="341" t="s">
        <v>762</v>
      </c>
      <c r="H32" s="382" t="s">
        <v>818</v>
      </c>
      <c r="I32" s="342" t="s">
        <v>819</v>
      </c>
    </row>
    <row r="33" spans="1:9" ht="102" customHeight="1">
      <c r="A33" s="375">
        <v>1</v>
      </c>
      <c r="B33" s="376" t="s">
        <v>66</v>
      </c>
      <c r="C33" s="376" t="s">
        <v>68</v>
      </c>
      <c r="D33" s="376" t="s">
        <v>136</v>
      </c>
      <c r="E33" s="376" t="s">
        <v>97</v>
      </c>
      <c r="F33" s="394" t="s">
        <v>140</v>
      </c>
      <c r="G33" s="341" t="s">
        <v>763</v>
      </c>
      <c r="H33" s="382" t="s">
        <v>820</v>
      </c>
      <c r="I33" s="342" t="s">
        <v>665</v>
      </c>
    </row>
    <row r="34" spans="1:9" ht="102" customHeight="1">
      <c r="A34" s="602">
        <v>1</v>
      </c>
      <c r="B34" s="376">
        <v>5</v>
      </c>
      <c r="C34" s="376">
        <v>1</v>
      </c>
      <c r="D34" s="376">
        <v>2.0699999999999998</v>
      </c>
      <c r="E34" s="376">
        <v>10</v>
      </c>
      <c r="F34" s="394" t="s">
        <v>257</v>
      </c>
      <c r="G34" s="341" t="s">
        <v>821</v>
      </c>
      <c r="H34" s="382" t="s">
        <v>822</v>
      </c>
      <c r="I34" s="342" t="s">
        <v>823</v>
      </c>
    </row>
    <row r="35" spans="1:9" ht="86.45" customHeight="1">
      <c r="A35" s="398">
        <v>1</v>
      </c>
      <c r="B35" s="398">
        <v>5</v>
      </c>
      <c r="C35" s="398">
        <v>1</v>
      </c>
      <c r="D35" s="399">
        <v>2.0699999999999998</v>
      </c>
      <c r="E35" s="399">
        <v>11</v>
      </c>
      <c r="F35" s="394" t="s">
        <v>317</v>
      </c>
      <c r="G35" s="341" t="s">
        <v>824</v>
      </c>
      <c r="H35" s="341" t="s">
        <v>825</v>
      </c>
      <c r="I35" s="342"/>
    </row>
    <row r="36" spans="1:9" ht="25.5">
      <c r="A36" s="389">
        <v>1</v>
      </c>
      <c r="B36" s="390" t="s">
        <v>66</v>
      </c>
      <c r="C36" s="390" t="s">
        <v>68</v>
      </c>
      <c r="D36" s="390" t="s">
        <v>141</v>
      </c>
      <c r="E36" s="390"/>
      <c r="F36" s="393" t="s">
        <v>142</v>
      </c>
      <c r="G36" s="382"/>
      <c r="H36" s="382"/>
      <c r="I36" s="383"/>
    </row>
    <row r="37" spans="1:9" ht="135.75" customHeight="1">
      <c r="A37" s="375">
        <v>1</v>
      </c>
      <c r="B37" s="376" t="s">
        <v>66</v>
      </c>
      <c r="C37" s="376" t="s">
        <v>68</v>
      </c>
      <c r="D37" s="376" t="s">
        <v>141</v>
      </c>
      <c r="E37" s="376" t="s">
        <v>68</v>
      </c>
      <c r="F37" s="394" t="s">
        <v>143</v>
      </c>
      <c r="G37" s="341" t="s">
        <v>764</v>
      </c>
      <c r="H37" s="341" t="s">
        <v>826</v>
      </c>
      <c r="I37" s="342" t="s">
        <v>663</v>
      </c>
    </row>
    <row r="38" spans="1:9" ht="90" customHeight="1">
      <c r="A38" s="375">
        <v>1</v>
      </c>
      <c r="B38" s="376" t="s">
        <v>66</v>
      </c>
      <c r="C38" s="376" t="s">
        <v>68</v>
      </c>
      <c r="D38" s="376" t="s">
        <v>141</v>
      </c>
      <c r="E38" s="376" t="s">
        <v>73</v>
      </c>
      <c r="F38" s="394" t="s">
        <v>148</v>
      </c>
      <c r="G38" s="341" t="s">
        <v>765</v>
      </c>
      <c r="H38" s="341" t="s">
        <v>827</v>
      </c>
      <c r="I38" s="342" t="s">
        <v>828</v>
      </c>
    </row>
    <row r="39" spans="1:9" ht="129" customHeight="1">
      <c r="A39" s="375">
        <v>1</v>
      </c>
      <c r="B39" s="376" t="s">
        <v>66</v>
      </c>
      <c r="C39" s="376" t="s">
        <v>68</v>
      </c>
      <c r="D39" s="376" t="s">
        <v>141</v>
      </c>
      <c r="E39" s="376" t="s">
        <v>80</v>
      </c>
      <c r="F39" s="394" t="s">
        <v>155</v>
      </c>
      <c r="G39" s="341" t="s">
        <v>766</v>
      </c>
      <c r="H39" s="341" t="s">
        <v>829</v>
      </c>
      <c r="I39" s="342"/>
    </row>
    <row r="40" spans="1:9" ht="25.5">
      <c r="A40" s="389">
        <v>1</v>
      </c>
      <c r="B40" s="390" t="s">
        <v>66</v>
      </c>
      <c r="C40" s="390" t="s">
        <v>68</v>
      </c>
      <c r="D40" s="390" t="s">
        <v>157</v>
      </c>
      <c r="E40" s="390"/>
      <c r="F40" s="393" t="s">
        <v>158</v>
      </c>
      <c r="G40" s="382"/>
      <c r="H40" s="382"/>
      <c r="I40" s="383"/>
    </row>
    <row r="41" spans="1:9" ht="114.75">
      <c r="A41" s="375">
        <v>1</v>
      </c>
      <c r="B41" s="376" t="s">
        <v>66</v>
      </c>
      <c r="C41" s="376" t="s">
        <v>68</v>
      </c>
      <c r="D41" s="376" t="s">
        <v>157</v>
      </c>
      <c r="E41" s="376" t="s">
        <v>73</v>
      </c>
      <c r="F41" s="394" t="s">
        <v>666</v>
      </c>
      <c r="G41" s="341" t="s">
        <v>767</v>
      </c>
      <c r="H41" s="341" t="s">
        <v>830</v>
      </c>
      <c r="I41" s="342" t="s">
        <v>663</v>
      </c>
    </row>
    <row r="42" spans="1:9" ht="102.6" customHeight="1">
      <c r="A42" s="375">
        <v>1</v>
      </c>
      <c r="B42" s="376" t="s">
        <v>66</v>
      </c>
      <c r="C42" s="376" t="s">
        <v>68</v>
      </c>
      <c r="D42" s="376" t="s">
        <v>157</v>
      </c>
      <c r="E42" s="376" t="s">
        <v>97</v>
      </c>
      <c r="F42" s="394" t="s">
        <v>164</v>
      </c>
      <c r="G42" s="341" t="s">
        <v>768</v>
      </c>
      <c r="H42" s="341" t="s">
        <v>831</v>
      </c>
      <c r="I42" s="342" t="s">
        <v>663</v>
      </c>
    </row>
    <row r="43" spans="1:9" ht="83.1" customHeight="1">
      <c r="A43" s="375">
        <v>1</v>
      </c>
      <c r="B43" s="376" t="s">
        <v>66</v>
      </c>
      <c r="C43" s="376" t="s">
        <v>68</v>
      </c>
      <c r="D43" s="376" t="s">
        <v>157</v>
      </c>
      <c r="E43" s="376" t="s">
        <v>134</v>
      </c>
      <c r="F43" s="394" t="s">
        <v>173</v>
      </c>
      <c r="G43" s="341" t="s">
        <v>769</v>
      </c>
      <c r="H43" s="341" t="s">
        <v>832</v>
      </c>
      <c r="I43" s="342"/>
    </row>
    <row r="44" spans="1:9" ht="21" customHeight="1">
      <c r="A44" s="384">
        <v>1</v>
      </c>
      <c r="B44" s="385" t="s">
        <v>66</v>
      </c>
      <c r="C44" s="385" t="s">
        <v>93</v>
      </c>
      <c r="D44" s="385"/>
      <c r="E44" s="385"/>
      <c r="F44" s="400" t="s">
        <v>175</v>
      </c>
      <c r="G44" s="387"/>
      <c r="H44" s="387"/>
      <c r="I44" s="401"/>
    </row>
    <row r="45" spans="1:9" ht="21.75" customHeight="1">
      <c r="A45" s="389">
        <v>1</v>
      </c>
      <c r="B45" s="390" t="s">
        <v>66</v>
      </c>
      <c r="C45" s="390" t="s">
        <v>93</v>
      </c>
      <c r="D45" s="390" t="s">
        <v>70</v>
      </c>
      <c r="E45" s="390"/>
      <c r="F45" s="393" t="s">
        <v>176</v>
      </c>
      <c r="G45" s="382"/>
      <c r="H45" s="382"/>
      <c r="I45" s="383"/>
    </row>
    <row r="46" spans="1:9" ht="101.45" customHeight="1">
      <c r="A46" s="402">
        <v>1</v>
      </c>
      <c r="B46" s="403" t="s">
        <v>66</v>
      </c>
      <c r="C46" s="403" t="s">
        <v>93</v>
      </c>
      <c r="D46" s="404" t="s">
        <v>70</v>
      </c>
      <c r="E46" s="403" t="s">
        <v>68</v>
      </c>
      <c r="F46" s="394" t="s">
        <v>590</v>
      </c>
      <c r="G46" s="343" t="s">
        <v>842</v>
      </c>
      <c r="H46" s="343" t="s">
        <v>843</v>
      </c>
      <c r="I46" s="344" t="s">
        <v>833</v>
      </c>
    </row>
    <row r="47" spans="1:9" s="65" customFormat="1" ht="87.95" customHeight="1">
      <c r="A47" s="402">
        <v>1</v>
      </c>
      <c r="B47" s="404" t="s">
        <v>66</v>
      </c>
      <c r="C47" s="404" t="s">
        <v>68</v>
      </c>
      <c r="D47" s="404" t="s">
        <v>70</v>
      </c>
      <c r="E47" s="404" t="s">
        <v>73</v>
      </c>
      <c r="F47" s="394" t="s">
        <v>14</v>
      </c>
      <c r="G47" s="341" t="s">
        <v>844</v>
      </c>
      <c r="H47" s="343" t="s">
        <v>845</v>
      </c>
      <c r="I47" s="344" t="s">
        <v>834</v>
      </c>
    </row>
    <row r="48" spans="1:9" ht="25.5">
      <c r="A48" s="389">
        <v>1</v>
      </c>
      <c r="B48" s="390" t="s">
        <v>66</v>
      </c>
      <c r="C48" s="390" t="s">
        <v>93</v>
      </c>
      <c r="D48" s="390" t="s">
        <v>87</v>
      </c>
      <c r="E48" s="390"/>
      <c r="F48" s="393" t="s">
        <v>15</v>
      </c>
      <c r="G48" s="603"/>
      <c r="H48" s="603"/>
      <c r="I48" s="383"/>
    </row>
    <row r="49" spans="1:9" s="65" customFormat="1" ht="72.75" customHeight="1">
      <c r="A49" s="405">
        <v>1</v>
      </c>
      <c r="B49" s="406" t="s">
        <v>66</v>
      </c>
      <c r="C49" s="406" t="s">
        <v>93</v>
      </c>
      <c r="D49" s="407" t="s">
        <v>87</v>
      </c>
      <c r="E49" s="407">
        <v>1</v>
      </c>
      <c r="F49" s="394" t="s">
        <v>667</v>
      </c>
      <c r="G49" s="343" t="s">
        <v>668</v>
      </c>
      <c r="H49" s="343" t="s">
        <v>846</v>
      </c>
      <c r="I49" s="408" t="s">
        <v>665</v>
      </c>
    </row>
    <row r="50" spans="1:9" s="65" customFormat="1" ht="80.25" customHeight="1">
      <c r="A50" s="402">
        <v>1</v>
      </c>
      <c r="B50" s="404" t="s">
        <v>66</v>
      </c>
      <c r="C50" s="404" t="s">
        <v>68</v>
      </c>
      <c r="D50" s="404" t="s">
        <v>87</v>
      </c>
      <c r="E50" s="404" t="s">
        <v>73</v>
      </c>
      <c r="F50" s="394" t="s">
        <v>18</v>
      </c>
      <c r="G50" s="341" t="s">
        <v>669</v>
      </c>
      <c r="H50" s="343" t="s">
        <v>847</v>
      </c>
      <c r="I50" s="344" t="s">
        <v>665</v>
      </c>
    </row>
    <row r="51" spans="1:9" s="65" customFormat="1" ht="95.1" customHeight="1">
      <c r="A51" s="402">
        <v>1</v>
      </c>
      <c r="B51" s="404" t="s">
        <v>66</v>
      </c>
      <c r="C51" s="404" t="s">
        <v>68</v>
      </c>
      <c r="D51" s="404" t="s">
        <v>87</v>
      </c>
      <c r="E51" s="404" t="s">
        <v>93</v>
      </c>
      <c r="F51" s="394" t="s">
        <v>186</v>
      </c>
      <c r="G51" s="341" t="s">
        <v>848</v>
      </c>
      <c r="H51" s="343" t="s">
        <v>849</v>
      </c>
      <c r="I51" s="344" t="s">
        <v>835</v>
      </c>
    </row>
    <row r="52" spans="1:9" s="65" customFormat="1" ht="84" customHeight="1">
      <c r="A52" s="409">
        <v>1</v>
      </c>
      <c r="B52" s="410" t="s">
        <v>66</v>
      </c>
      <c r="C52" s="410" t="s">
        <v>68</v>
      </c>
      <c r="D52" s="410" t="s">
        <v>87</v>
      </c>
      <c r="E52" s="411" t="s">
        <v>97</v>
      </c>
      <c r="F52" s="394" t="s">
        <v>23</v>
      </c>
      <c r="G52" s="343" t="s">
        <v>850</v>
      </c>
      <c r="H52" s="343" t="s">
        <v>851</v>
      </c>
      <c r="I52" s="344" t="s">
        <v>836</v>
      </c>
    </row>
    <row r="53" spans="1:9" s="65" customFormat="1" ht="85.5" customHeight="1">
      <c r="A53" s="402">
        <v>1</v>
      </c>
      <c r="B53" s="404" t="s">
        <v>66</v>
      </c>
      <c r="C53" s="404" t="s">
        <v>68</v>
      </c>
      <c r="D53" s="404" t="s">
        <v>87</v>
      </c>
      <c r="E53" s="404" t="s">
        <v>100</v>
      </c>
      <c r="F53" s="394" t="s">
        <v>22</v>
      </c>
      <c r="G53" s="343" t="s">
        <v>852</v>
      </c>
      <c r="H53" s="343" t="s">
        <v>853</v>
      </c>
      <c r="I53" s="344" t="s">
        <v>837</v>
      </c>
    </row>
    <row r="54" spans="1:9" s="65" customFormat="1" ht="67.5" customHeight="1">
      <c r="A54" s="409">
        <v>1</v>
      </c>
      <c r="B54" s="410" t="s">
        <v>66</v>
      </c>
      <c r="C54" s="410" t="s">
        <v>68</v>
      </c>
      <c r="D54" s="410" t="s">
        <v>87</v>
      </c>
      <c r="E54" s="411" t="s">
        <v>134</v>
      </c>
      <c r="F54" s="394" t="s">
        <v>21</v>
      </c>
      <c r="G54" s="343" t="s">
        <v>670</v>
      </c>
      <c r="H54" s="343" t="s">
        <v>854</v>
      </c>
      <c r="I54" s="344" t="s">
        <v>665</v>
      </c>
    </row>
    <row r="55" spans="1:9" s="65" customFormat="1" ht="72.75" customHeight="1" thickBot="1">
      <c r="A55" s="412">
        <v>1</v>
      </c>
      <c r="B55" s="413" t="s">
        <v>66</v>
      </c>
      <c r="C55" s="413" t="s">
        <v>68</v>
      </c>
      <c r="D55" s="413" t="s">
        <v>87</v>
      </c>
      <c r="E55" s="413" t="s">
        <v>192</v>
      </c>
      <c r="F55" s="414" t="s">
        <v>20</v>
      </c>
      <c r="G55" s="415" t="s">
        <v>671</v>
      </c>
      <c r="H55" s="604" t="s">
        <v>855</v>
      </c>
      <c r="I55" s="416"/>
    </row>
    <row r="56" spans="1:9" ht="18.75" customHeight="1" thickTop="1">
      <c r="A56" s="389">
        <v>1</v>
      </c>
      <c r="B56" s="390" t="s">
        <v>66</v>
      </c>
      <c r="C56" s="390" t="s">
        <v>93</v>
      </c>
      <c r="D56" s="390" t="s">
        <v>108</v>
      </c>
      <c r="E56" s="390"/>
      <c r="F56" s="393" t="s">
        <v>193</v>
      </c>
      <c r="G56" s="382"/>
      <c r="H56" s="382"/>
      <c r="I56" s="383"/>
    </row>
    <row r="57" spans="1:9" s="65" customFormat="1" ht="160.5" customHeight="1">
      <c r="A57" s="402">
        <v>1</v>
      </c>
      <c r="B57" s="404" t="s">
        <v>66</v>
      </c>
      <c r="C57" s="404" t="s">
        <v>68</v>
      </c>
      <c r="D57" s="404" t="s">
        <v>108</v>
      </c>
      <c r="E57" s="404" t="s">
        <v>73</v>
      </c>
      <c r="F57" s="394" t="s">
        <v>194</v>
      </c>
      <c r="G57" s="605" t="s">
        <v>858</v>
      </c>
      <c r="H57" s="605" t="s">
        <v>859</v>
      </c>
      <c r="I57" s="606" t="s">
        <v>860</v>
      </c>
    </row>
    <row r="58" spans="1:9" s="65" customFormat="1" ht="137.44999999999999" customHeight="1">
      <c r="A58" s="402">
        <v>1</v>
      </c>
      <c r="B58" s="404" t="s">
        <v>66</v>
      </c>
      <c r="C58" s="404" t="s">
        <v>68</v>
      </c>
      <c r="D58" s="404" t="s">
        <v>108</v>
      </c>
      <c r="E58" s="404" t="s">
        <v>93</v>
      </c>
      <c r="F58" s="394" t="s">
        <v>197</v>
      </c>
      <c r="G58" s="605" t="s">
        <v>861</v>
      </c>
      <c r="H58" s="605" t="s">
        <v>862</v>
      </c>
      <c r="I58" s="608" t="s">
        <v>863</v>
      </c>
    </row>
    <row r="59" spans="1:9" s="65" customFormat="1" ht="140.25">
      <c r="A59" s="402">
        <v>1</v>
      </c>
      <c r="B59" s="404" t="s">
        <v>66</v>
      </c>
      <c r="C59" s="404" t="s">
        <v>68</v>
      </c>
      <c r="D59" s="404" t="s">
        <v>108</v>
      </c>
      <c r="E59" s="404" t="s">
        <v>80</v>
      </c>
      <c r="F59" s="394" t="s">
        <v>199</v>
      </c>
      <c r="G59" s="605" t="s">
        <v>864</v>
      </c>
      <c r="H59" s="605" t="s">
        <v>865</v>
      </c>
      <c r="I59" s="606" t="s">
        <v>863</v>
      </c>
    </row>
    <row r="60" spans="1:9" s="65" customFormat="1" ht="111" customHeight="1">
      <c r="A60" s="417">
        <v>1</v>
      </c>
      <c r="B60" s="417" t="s">
        <v>66</v>
      </c>
      <c r="C60" s="417" t="s">
        <v>68</v>
      </c>
      <c r="D60" s="417" t="s">
        <v>108</v>
      </c>
      <c r="E60" s="418" t="s">
        <v>66</v>
      </c>
      <c r="F60" s="419" t="s">
        <v>201</v>
      </c>
      <c r="G60" s="607" t="s">
        <v>866</v>
      </c>
      <c r="H60" s="605" t="s">
        <v>867</v>
      </c>
      <c r="I60" s="608" t="s">
        <v>868</v>
      </c>
    </row>
    <row r="61" spans="1:9" s="65" customFormat="1" ht="115.5" thickBot="1">
      <c r="A61" s="412">
        <v>1</v>
      </c>
      <c r="B61" s="413" t="s">
        <v>66</v>
      </c>
      <c r="C61" s="413" t="s">
        <v>68</v>
      </c>
      <c r="D61" s="413" t="s">
        <v>108</v>
      </c>
      <c r="E61" s="413" t="s">
        <v>97</v>
      </c>
      <c r="F61" s="414" t="s">
        <v>202</v>
      </c>
      <c r="G61" s="609" t="s">
        <v>869</v>
      </c>
      <c r="H61" s="609" t="s">
        <v>870</v>
      </c>
      <c r="I61" s="608" t="s">
        <v>868</v>
      </c>
    </row>
    <row r="62" spans="1:9" ht="36" customHeight="1" thickTop="1">
      <c r="A62" s="421">
        <v>1</v>
      </c>
      <c r="B62" s="421" t="s">
        <v>66</v>
      </c>
      <c r="C62" s="422" t="s">
        <v>93</v>
      </c>
      <c r="D62" s="422" t="s">
        <v>203</v>
      </c>
      <c r="E62" s="423"/>
      <c r="F62" s="424" t="s">
        <v>204</v>
      </c>
      <c r="G62" s="420"/>
      <c r="H62" s="420"/>
      <c r="I62" s="425"/>
    </row>
    <row r="63" spans="1:9" ht="69" customHeight="1">
      <c r="A63" s="426">
        <v>1</v>
      </c>
      <c r="B63" s="426" t="s">
        <v>66</v>
      </c>
      <c r="C63" s="426" t="s">
        <v>93</v>
      </c>
      <c r="D63" s="426" t="s">
        <v>203</v>
      </c>
      <c r="E63" s="426" t="s">
        <v>68</v>
      </c>
      <c r="F63" s="419" t="s">
        <v>205</v>
      </c>
      <c r="G63" s="420" t="s">
        <v>672</v>
      </c>
      <c r="H63" s="420" t="s">
        <v>840</v>
      </c>
      <c r="I63" s="425" t="s">
        <v>838</v>
      </c>
    </row>
    <row r="64" spans="1:9" ht="109.5" customHeight="1">
      <c r="A64" s="426">
        <v>1</v>
      </c>
      <c r="B64" s="426" t="s">
        <v>66</v>
      </c>
      <c r="C64" s="426" t="s">
        <v>93</v>
      </c>
      <c r="D64" s="426" t="s">
        <v>203</v>
      </c>
      <c r="E64" s="426" t="s">
        <v>73</v>
      </c>
      <c r="F64" s="419" t="s">
        <v>279</v>
      </c>
      <c r="G64" s="341" t="s">
        <v>770</v>
      </c>
      <c r="H64" s="420" t="s">
        <v>841</v>
      </c>
      <c r="I64" s="425" t="s">
        <v>839</v>
      </c>
    </row>
    <row r="65" spans="1:9" ht="282.75" customHeight="1">
      <c r="A65" s="402">
        <v>1</v>
      </c>
      <c r="B65" s="404" t="s">
        <v>66</v>
      </c>
      <c r="C65" s="404" t="s">
        <v>68</v>
      </c>
      <c r="D65" s="404" t="s">
        <v>87</v>
      </c>
      <c r="E65" s="404" t="s">
        <v>85</v>
      </c>
      <c r="F65" s="427" t="s">
        <v>187</v>
      </c>
      <c r="G65" s="341" t="s">
        <v>856</v>
      </c>
      <c r="H65" s="341" t="s">
        <v>857</v>
      </c>
      <c r="I65" s="344"/>
    </row>
    <row r="66" spans="1:9">
      <c r="A66" s="428"/>
      <c r="B66" s="428"/>
      <c r="C66" s="428"/>
      <c r="D66" s="428"/>
      <c r="E66" s="428"/>
      <c r="F66" s="429"/>
      <c r="G66" s="430"/>
      <c r="H66" s="430"/>
      <c r="I66" s="429"/>
    </row>
    <row r="67" spans="1:9" ht="16.5">
      <c r="A67" s="428"/>
      <c r="B67" s="428"/>
      <c r="C67" s="428"/>
      <c r="D67" s="428"/>
      <c r="E67" s="428"/>
      <c r="F67" s="429"/>
      <c r="G67" s="431"/>
      <c r="H67" s="431" t="s">
        <v>720</v>
      </c>
      <c r="I67" s="432"/>
    </row>
    <row r="68" spans="1:9" ht="16.5">
      <c r="A68" s="428"/>
      <c r="B68" s="428"/>
      <c r="C68" s="428"/>
      <c r="D68" s="428"/>
      <c r="E68" s="428"/>
      <c r="F68" s="429"/>
      <c r="G68" s="433" t="s">
        <v>231</v>
      </c>
      <c r="H68" s="431" t="s">
        <v>24</v>
      </c>
      <c r="I68" s="428"/>
    </row>
    <row r="69" spans="1:9" ht="16.5">
      <c r="A69" s="428"/>
      <c r="B69" s="428"/>
      <c r="C69" s="428"/>
      <c r="D69" s="428"/>
      <c r="E69" s="428"/>
      <c r="F69" s="429"/>
      <c r="G69" s="431"/>
      <c r="H69" s="431"/>
      <c r="I69" s="428"/>
    </row>
    <row r="70" spans="1:9" ht="16.5">
      <c r="A70" s="428"/>
      <c r="B70" s="428"/>
      <c r="C70" s="428"/>
      <c r="D70" s="428"/>
      <c r="E70" s="428"/>
      <c r="F70" s="429"/>
      <c r="G70" s="431"/>
      <c r="H70" s="431"/>
      <c r="I70" s="428"/>
    </row>
    <row r="71" spans="1:9" ht="16.5">
      <c r="A71" s="428"/>
      <c r="B71" s="428"/>
      <c r="C71" s="428"/>
      <c r="D71" s="428"/>
      <c r="E71" s="428"/>
      <c r="F71" s="429"/>
      <c r="G71" s="434"/>
      <c r="H71" s="434" t="s">
        <v>711</v>
      </c>
      <c r="I71" s="428"/>
    </row>
    <row r="72" spans="1:9" ht="16.5">
      <c r="A72" s="428"/>
      <c r="B72" s="428"/>
      <c r="C72" s="428"/>
      <c r="D72" s="428"/>
      <c r="E72" s="428"/>
      <c r="F72" s="429"/>
      <c r="G72" s="431"/>
      <c r="H72" s="431" t="s">
        <v>26</v>
      </c>
      <c r="I72" s="428"/>
    </row>
    <row r="73" spans="1:9" ht="16.5">
      <c r="A73" s="428"/>
      <c r="B73" s="428"/>
      <c r="C73" s="428"/>
      <c r="D73" s="428"/>
      <c r="E73" s="428"/>
      <c r="F73" s="429"/>
      <c r="G73" s="431"/>
      <c r="H73" s="431" t="s">
        <v>46</v>
      </c>
      <c r="I73" s="428"/>
    </row>
    <row r="74" spans="1:9" ht="16.5">
      <c r="A74" s="428"/>
      <c r="B74" s="428"/>
      <c r="C74" s="428"/>
      <c r="D74" s="428"/>
      <c r="E74" s="428"/>
      <c r="F74" s="429"/>
      <c r="G74" s="431"/>
      <c r="H74" s="431"/>
      <c r="I74" s="428"/>
    </row>
    <row r="75" spans="1:9">
      <c r="A75" s="428"/>
      <c r="B75" s="428"/>
      <c r="C75" s="428"/>
      <c r="D75" s="428"/>
      <c r="E75" s="428"/>
      <c r="F75" s="429"/>
      <c r="G75" s="428"/>
      <c r="H75" s="428"/>
      <c r="I75" s="428"/>
    </row>
    <row r="76" spans="1:9">
      <c r="A76" s="428"/>
      <c r="B76" s="428"/>
      <c r="C76" s="428"/>
      <c r="D76" s="428"/>
      <c r="E76" s="428"/>
      <c r="F76" s="429"/>
      <c r="G76" s="428"/>
      <c r="H76" s="428"/>
      <c r="I76" s="428"/>
    </row>
    <row r="77" spans="1:9">
      <c r="A77" s="428"/>
      <c r="B77" s="428"/>
      <c r="C77" s="428"/>
      <c r="D77" s="428"/>
      <c r="E77" s="428"/>
      <c r="F77" s="429"/>
      <c r="G77" s="428"/>
      <c r="H77" s="428"/>
      <c r="I77" s="428"/>
    </row>
    <row r="78" spans="1:9">
      <c r="A78" s="428"/>
      <c r="B78" s="428"/>
      <c r="C78" s="428"/>
      <c r="D78" s="428"/>
      <c r="E78" s="428"/>
      <c r="F78" s="429"/>
      <c r="G78" s="428"/>
      <c r="H78" s="428"/>
      <c r="I78" s="428"/>
    </row>
    <row r="79" spans="1:9">
      <c r="A79" s="428"/>
      <c r="B79" s="428"/>
      <c r="C79" s="428"/>
      <c r="D79" s="428"/>
      <c r="E79" s="428"/>
      <c r="F79" s="429"/>
      <c r="G79" s="428"/>
      <c r="H79" s="428"/>
      <c r="I79" s="428"/>
    </row>
    <row r="80" spans="1:9">
      <c r="A80" s="428"/>
      <c r="B80" s="428"/>
      <c r="C80" s="428"/>
      <c r="D80" s="428"/>
      <c r="E80" s="428"/>
      <c r="F80" s="429"/>
      <c r="G80" s="428"/>
      <c r="H80" s="428"/>
      <c r="I80" s="428"/>
    </row>
    <row r="81" spans="1:9">
      <c r="A81" s="428"/>
      <c r="B81" s="428"/>
      <c r="C81" s="428"/>
      <c r="D81" s="428"/>
      <c r="E81" s="428"/>
      <c r="F81" s="429"/>
      <c r="G81" s="428"/>
      <c r="H81" s="428"/>
      <c r="I81" s="428"/>
    </row>
    <row r="82" spans="1:9">
      <c r="A82" s="428"/>
      <c r="B82" s="428"/>
      <c r="C82" s="428"/>
      <c r="D82" s="428"/>
      <c r="E82" s="428"/>
      <c r="F82" s="429"/>
      <c r="G82" s="428"/>
      <c r="H82" s="428"/>
      <c r="I82" s="428"/>
    </row>
    <row r="83" spans="1:9">
      <c r="A83" s="428"/>
      <c r="B83" s="428"/>
      <c r="C83" s="428"/>
      <c r="D83" s="428"/>
      <c r="E83" s="428"/>
      <c r="F83" s="429"/>
      <c r="G83" s="428"/>
      <c r="H83" s="428"/>
      <c r="I83" s="428"/>
    </row>
    <row r="84" spans="1:9">
      <c r="A84" s="428"/>
      <c r="B84" s="428"/>
      <c r="C84" s="428"/>
      <c r="D84" s="428"/>
      <c r="E84" s="428"/>
      <c r="F84" s="429"/>
      <c r="G84" s="428"/>
      <c r="H84" s="428"/>
      <c r="I84" s="428"/>
    </row>
    <row r="85" spans="1:9">
      <c r="A85" s="428"/>
      <c r="B85" s="428"/>
      <c r="C85" s="428"/>
      <c r="D85" s="428"/>
      <c r="E85" s="428"/>
      <c r="F85" s="429"/>
      <c r="G85" s="428"/>
      <c r="H85" s="428"/>
      <c r="I85" s="428"/>
    </row>
    <row r="86" spans="1:9">
      <c r="A86" s="428"/>
      <c r="B86" s="428"/>
      <c r="C86" s="428"/>
      <c r="D86" s="428"/>
      <c r="E86" s="428"/>
      <c r="F86" s="429"/>
      <c r="G86" s="428"/>
      <c r="H86" s="428"/>
      <c r="I86" s="428"/>
    </row>
    <row r="87" spans="1:9">
      <c r="A87" s="428"/>
      <c r="B87" s="428"/>
      <c r="C87" s="428"/>
      <c r="D87" s="428"/>
      <c r="E87" s="428"/>
      <c r="F87" s="429"/>
      <c r="G87" s="428"/>
      <c r="H87" s="428"/>
      <c r="I87" s="428"/>
    </row>
    <row r="88" spans="1:9">
      <c r="A88" s="428"/>
      <c r="B88" s="428"/>
      <c r="C88" s="428"/>
      <c r="D88" s="428"/>
      <c r="E88" s="428"/>
      <c r="F88" s="429"/>
      <c r="G88" s="428"/>
      <c r="H88" s="428"/>
      <c r="I88" s="428"/>
    </row>
    <row r="89" spans="1:9">
      <c r="A89" s="428"/>
      <c r="B89" s="428"/>
      <c r="C89" s="428"/>
      <c r="D89" s="428"/>
      <c r="E89" s="428"/>
      <c r="F89" s="429"/>
      <c r="G89" s="428"/>
      <c r="H89" s="428"/>
      <c r="I89" s="428"/>
    </row>
    <row r="90" spans="1:9">
      <c r="A90" s="428"/>
      <c r="B90" s="428"/>
      <c r="C90" s="428"/>
      <c r="D90" s="428"/>
      <c r="E90" s="428"/>
      <c r="F90" s="429"/>
      <c r="G90" s="428"/>
      <c r="H90" s="428"/>
      <c r="I90" s="428"/>
    </row>
    <row r="91" spans="1:9">
      <c r="A91" s="428"/>
      <c r="B91" s="428"/>
      <c r="C91" s="428"/>
      <c r="D91" s="428"/>
      <c r="E91" s="428"/>
      <c r="F91" s="429"/>
      <c r="G91" s="428"/>
      <c r="H91" s="428"/>
      <c r="I91" s="428"/>
    </row>
    <row r="92" spans="1:9">
      <c r="A92" s="428"/>
      <c r="B92" s="428"/>
      <c r="C92" s="428"/>
      <c r="D92" s="428"/>
      <c r="E92" s="428"/>
      <c r="F92" s="429"/>
      <c r="G92" s="428"/>
      <c r="H92" s="428"/>
      <c r="I92" s="428"/>
    </row>
    <row r="93" spans="1:9">
      <c r="A93" s="428"/>
      <c r="B93" s="428"/>
      <c r="C93" s="428"/>
      <c r="D93" s="428"/>
      <c r="E93" s="428"/>
      <c r="F93" s="429"/>
      <c r="G93" s="428"/>
      <c r="H93" s="428"/>
      <c r="I93" s="428"/>
    </row>
    <row r="94" spans="1:9">
      <c r="A94" s="428"/>
      <c r="B94" s="428"/>
      <c r="C94" s="428"/>
      <c r="D94" s="428"/>
      <c r="E94" s="428"/>
      <c r="F94" s="429"/>
      <c r="G94" s="428"/>
      <c r="H94" s="428"/>
      <c r="I94" s="428"/>
    </row>
    <row r="95" spans="1:9">
      <c r="A95" s="428"/>
      <c r="B95" s="428"/>
      <c r="C95" s="428"/>
      <c r="D95" s="428"/>
      <c r="E95" s="428"/>
      <c r="F95" s="429"/>
      <c r="G95" s="428"/>
      <c r="H95" s="428"/>
      <c r="I95" s="428"/>
    </row>
    <row r="96" spans="1:9">
      <c r="A96" s="428"/>
      <c r="B96" s="428"/>
      <c r="C96" s="428"/>
      <c r="D96" s="428"/>
      <c r="E96" s="428"/>
      <c r="F96" s="429"/>
      <c r="G96" s="428"/>
      <c r="H96" s="428"/>
      <c r="I96" s="428"/>
    </row>
    <row r="97" spans="1:9">
      <c r="A97" s="428"/>
      <c r="B97" s="428"/>
      <c r="C97" s="428"/>
      <c r="D97" s="428"/>
      <c r="E97" s="428"/>
      <c r="F97" s="429"/>
      <c r="G97" s="428"/>
      <c r="H97" s="428"/>
      <c r="I97" s="428"/>
    </row>
    <row r="98" spans="1:9">
      <c r="A98" s="428"/>
      <c r="B98" s="428"/>
      <c r="C98" s="428"/>
      <c r="D98" s="428"/>
      <c r="E98" s="428"/>
      <c r="F98" s="429"/>
      <c r="G98" s="428"/>
      <c r="H98" s="428"/>
      <c r="I98" s="428"/>
    </row>
    <row r="99" spans="1:9">
      <c r="A99" s="428"/>
      <c r="B99" s="428"/>
      <c r="C99" s="428"/>
      <c r="D99" s="428"/>
      <c r="E99" s="428"/>
      <c r="F99" s="429"/>
      <c r="G99" s="428"/>
      <c r="H99" s="428"/>
      <c r="I99" s="428"/>
    </row>
    <row r="100" spans="1:9">
      <c r="A100" s="428"/>
      <c r="B100" s="428"/>
      <c r="C100" s="428"/>
      <c r="D100" s="428"/>
      <c r="E100" s="428"/>
      <c r="F100" s="429"/>
      <c r="G100" s="428"/>
      <c r="H100" s="428"/>
      <c r="I100" s="428"/>
    </row>
    <row r="101" spans="1:9">
      <c r="A101" s="428"/>
      <c r="B101" s="428"/>
      <c r="C101" s="428"/>
      <c r="D101" s="428"/>
      <c r="E101" s="428"/>
      <c r="F101" s="429"/>
      <c r="G101" s="428"/>
      <c r="H101" s="428"/>
      <c r="I101" s="428"/>
    </row>
    <row r="102" spans="1:9">
      <c r="A102" s="428"/>
      <c r="B102" s="428"/>
      <c r="C102" s="428"/>
      <c r="D102" s="428"/>
      <c r="E102" s="428"/>
      <c r="F102" s="429"/>
      <c r="G102" s="428"/>
      <c r="H102" s="428"/>
      <c r="I102" s="428"/>
    </row>
    <row r="103" spans="1:9">
      <c r="A103" s="428"/>
      <c r="B103" s="428"/>
      <c r="C103" s="428"/>
      <c r="D103" s="428"/>
      <c r="E103" s="428"/>
      <c r="F103" s="429"/>
      <c r="G103" s="428"/>
      <c r="H103" s="428"/>
      <c r="I103" s="428"/>
    </row>
    <row r="104" spans="1:9">
      <c r="A104" s="428"/>
      <c r="B104" s="428"/>
      <c r="C104" s="428"/>
      <c r="D104" s="428"/>
      <c r="E104" s="428"/>
      <c r="F104" s="429"/>
      <c r="G104" s="428"/>
      <c r="H104" s="428"/>
      <c r="I104" s="428"/>
    </row>
    <row r="105" spans="1:9">
      <c r="A105" s="428"/>
      <c r="B105" s="428"/>
      <c r="C105" s="428"/>
      <c r="D105" s="428"/>
      <c r="E105" s="428"/>
      <c r="F105" s="429"/>
      <c r="G105" s="428"/>
      <c r="H105" s="428"/>
      <c r="I105" s="428"/>
    </row>
    <row r="106" spans="1:9">
      <c r="A106" s="428"/>
      <c r="B106" s="428"/>
      <c r="C106" s="428"/>
      <c r="D106" s="428"/>
      <c r="E106" s="428"/>
      <c r="F106" s="429"/>
      <c r="G106" s="428"/>
      <c r="H106" s="428"/>
      <c r="I106" s="428"/>
    </row>
    <row r="107" spans="1:9">
      <c r="A107" s="428"/>
      <c r="B107" s="428"/>
      <c r="C107" s="428"/>
      <c r="D107" s="428"/>
      <c r="E107" s="428"/>
      <c r="F107" s="429"/>
      <c r="G107" s="428"/>
      <c r="H107" s="428"/>
      <c r="I107" s="428"/>
    </row>
    <row r="108" spans="1:9">
      <c r="A108" s="428"/>
      <c r="B108" s="428"/>
      <c r="C108" s="428"/>
      <c r="D108" s="428"/>
      <c r="E108" s="428"/>
      <c r="F108" s="429"/>
      <c r="G108" s="428"/>
      <c r="H108" s="428"/>
      <c r="I108" s="428"/>
    </row>
    <row r="109" spans="1:9" ht="15.75">
      <c r="F109" s="345"/>
      <c r="G109" s="346"/>
      <c r="H109" s="346"/>
      <c r="I109" s="345"/>
    </row>
    <row r="110" spans="1:9" ht="15.75">
      <c r="F110" s="345" t="s">
        <v>673</v>
      </c>
      <c r="G110" s="347"/>
      <c r="H110" s="347"/>
      <c r="I110" s="345"/>
    </row>
    <row r="111" spans="1:9" ht="15.75">
      <c r="F111" s="345" t="s">
        <v>674</v>
      </c>
      <c r="G111" s="348"/>
      <c r="H111" s="348"/>
      <c r="I111" s="345"/>
    </row>
    <row r="112" spans="1:9" ht="15.75">
      <c r="F112" s="345" t="s">
        <v>675</v>
      </c>
      <c r="G112" s="348"/>
      <c r="H112" s="348"/>
      <c r="I112" s="345"/>
    </row>
    <row r="113" spans="6:9" ht="15.75">
      <c r="F113" s="345" t="s">
        <v>676</v>
      </c>
      <c r="G113" s="349"/>
      <c r="H113" s="349"/>
      <c r="I113" s="345"/>
    </row>
    <row r="114" spans="6:9" ht="15.75">
      <c r="F114" s="345" t="s">
        <v>677</v>
      </c>
      <c r="G114" s="349"/>
      <c r="H114" s="349"/>
      <c r="I114" s="345"/>
    </row>
    <row r="115" spans="6:9" ht="15.75">
      <c r="F115" s="345" t="s">
        <v>678</v>
      </c>
      <c r="G115" s="349"/>
      <c r="H115" s="349"/>
      <c r="I115" s="345"/>
    </row>
    <row r="116" spans="6:9" ht="15.75">
      <c r="F116" s="345" t="s">
        <v>679</v>
      </c>
      <c r="G116" s="348"/>
      <c r="H116" s="348"/>
      <c r="I116" s="345"/>
    </row>
    <row r="117" spans="6:9" ht="15.75">
      <c r="F117" s="345" t="s">
        <v>680</v>
      </c>
      <c r="G117" s="348"/>
      <c r="H117" s="348"/>
      <c r="I117" s="345"/>
    </row>
    <row r="118" spans="6:9" ht="15.75">
      <c r="F118" s="345" t="s">
        <v>681</v>
      </c>
      <c r="G118" s="348"/>
      <c r="H118" s="348"/>
      <c r="I118" s="345"/>
    </row>
    <row r="119" spans="6:9" ht="15.75">
      <c r="F119" s="345" t="s">
        <v>682</v>
      </c>
      <c r="G119" s="349"/>
      <c r="H119" s="349"/>
      <c r="I119" s="345"/>
    </row>
    <row r="120" spans="6:9" ht="15.75">
      <c r="F120" s="345" t="s">
        <v>683</v>
      </c>
      <c r="G120" s="349"/>
      <c r="H120" s="349"/>
      <c r="I120" s="345"/>
    </row>
    <row r="121" spans="6:9" ht="15.75">
      <c r="F121" s="345"/>
      <c r="G121" s="349"/>
      <c r="H121" s="349"/>
      <c r="I121" s="345"/>
    </row>
    <row r="122" spans="6:9" ht="15.75">
      <c r="F122" s="345"/>
      <c r="G122" s="349"/>
      <c r="H122" s="349"/>
      <c r="I122" s="345"/>
    </row>
    <row r="123" spans="6:9" ht="15.75">
      <c r="F123" s="350" t="s">
        <v>684</v>
      </c>
      <c r="G123" s="349"/>
      <c r="H123" s="349"/>
      <c r="I123" s="345"/>
    </row>
    <row r="124" spans="6:9" ht="15.75">
      <c r="F124" s="350" t="s">
        <v>685</v>
      </c>
      <c r="G124" s="349"/>
      <c r="H124" s="349"/>
      <c r="I124" s="345"/>
    </row>
    <row r="125" spans="6:9" ht="15.75">
      <c r="F125" s="350" t="s">
        <v>686</v>
      </c>
      <c r="G125" s="349"/>
      <c r="H125" s="349"/>
      <c r="I125" s="345"/>
    </row>
  </sheetData>
  <mergeCells count="9">
    <mergeCell ref="A7:E7"/>
    <mergeCell ref="A1:I1"/>
    <mergeCell ref="A2:I2"/>
    <mergeCell ref="A3:I3"/>
    <mergeCell ref="A5:E6"/>
    <mergeCell ref="F5:F6"/>
    <mergeCell ref="G5:G6"/>
    <mergeCell ref="H5:H6"/>
    <mergeCell ref="I5:I6"/>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Q80"/>
  <sheetViews>
    <sheetView topLeftCell="F79" workbookViewId="0">
      <selection activeCell="N91" sqref="N91"/>
    </sheetView>
  </sheetViews>
  <sheetFormatPr defaultColWidth="9.140625" defaultRowHeight="15"/>
  <cols>
    <col min="1" max="1" width="5.42578125" style="253" customWidth="1"/>
    <col min="2" max="2" width="33.5703125" style="253" customWidth="1"/>
    <col min="3" max="3" width="17.42578125" style="253" customWidth="1"/>
    <col min="4" max="4" width="9.140625" style="253"/>
    <col min="5" max="5" width="14.140625" style="322" customWidth="1"/>
    <col min="6" max="6" width="17.5703125" style="253" customWidth="1"/>
    <col min="7" max="7" width="9.140625" style="253"/>
    <col min="8" max="8" width="13.5703125" style="253" customWidth="1"/>
    <col min="9" max="9" width="17.5703125" style="253" customWidth="1"/>
    <col min="10" max="10" width="9.140625" style="253"/>
    <col min="11" max="11" width="12.28515625" style="253" customWidth="1"/>
    <col min="12" max="12" width="17.5703125" style="253" customWidth="1"/>
    <col min="13" max="13" width="9.140625" style="253"/>
    <col min="14" max="14" width="10.28515625" style="253" customWidth="1"/>
    <col min="15" max="15" width="17.7109375" style="253" customWidth="1"/>
    <col min="16" max="16" width="9.140625" style="253"/>
    <col min="17" max="17" width="11.28515625" style="253" customWidth="1"/>
    <col min="18" max="16384" width="9.140625" style="253"/>
  </cols>
  <sheetData>
    <row r="1" spans="1:17" ht="15.75">
      <c r="A1" s="779" t="s">
        <v>468</v>
      </c>
      <c r="B1" s="779"/>
      <c r="C1" s="779"/>
      <c r="D1" s="779"/>
      <c r="E1" s="779"/>
      <c r="F1" s="779"/>
      <c r="G1" s="779"/>
      <c r="H1" s="779"/>
      <c r="I1" s="779"/>
      <c r="J1" s="779"/>
      <c r="K1" s="779"/>
      <c r="L1" s="779"/>
      <c r="M1" s="779"/>
      <c r="N1" s="779"/>
      <c r="O1" s="779"/>
      <c r="P1" s="779"/>
      <c r="Q1" s="779"/>
    </row>
    <row r="2" spans="1:17" ht="15.75">
      <c r="A2" s="779" t="s">
        <v>469</v>
      </c>
      <c r="B2" s="779"/>
      <c r="C2" s="779"/>
      <c r="D2" s="779"/>
      <c r="E2" s="779"/>
      <c r="F2" s="779"/>
      <c r="G2" s="779"/>
      <c r="H2" s="779"/>
      <c r="I2" s="779"/>
      <c r="J2" s="779"/>
      <c r="K2" s="779"/>
      <c r="L2" s="779"/>
      <c r="M2" s="779"/>
      <c r="N2" s="779"/>
      <c r="O2" s="779"/>
      <c r="P2" s="779"/>
      <c r="Q2" s="779"/>
    </row>
    <row r="3" spans="1:17" ht="15.75">
      <c r="A3" s="779" t="s">
        <v>470</v>
      </c>
      <c r="B3" s="779"/>
      <c r="C3" s="779"/>
      <c r="D3" s="779"/>
      <c r="E3" s="779"/>
      <c r="F3" s="779"/>
      <c r="G3" s="779"/>
      <c r="H3" s="779"/>
      <c r="I3" s="779"/>
      <c r="J3" s="779"/>
      <c r="K3" s="779"/>
      <c r="L3" s="779"/>
      <c r="M3" s="779"/>
      <c r="N3" s="779"/>
      <c r="O3" s="779"/>
      <c r="P3" s="779"/>
      <c r="Q3" s="779"/>
    </row>
    <row r="4" spans="1:17">
      <c r="A4" s="254"/>
      <c r="B4" s="254"/>
      <c r="C4" s="254"/>
      <c r="D4" s="254"/>
      <c r="E4" s="255"/>
      <c r="F4" s="254"/>
      <c r="G4" s="254"/>
      <c r="H4" s="254"/>
      <c r="I4" s="254"/>
      <c r="J4" s="254"/>
      <c r="K4" s="254"/>
      <c r="L4" s="254"/>
      <c r="M4" s="254"/>
      <c r="N4" s="254"/>
      <c r="O4" s="254"/>
      <c r="P4" s="254"/>
      <c r="Q4" s="254"/>
    </row>
    <row r="5" spans="1:17" ht="15.75" thickBot="1">
      <c r="A5" s="256"/>
      <c r="B5" s="257"/>
      <c r="C5" s="257"/>
      <c r="D5" s="257"/>
      <c r="E5" s="258"/>
      <c r="F5" s="257"/>
      <c r="G5" s="257"/>
      <c r="H5" s="257"/>
      <c r="I5" s="257"/>
      <c r="J5" s="257"/>
      <c r="K5" s="257"/>
      <c r="L5" s="257"/>
      <c r="M5" s="257"/>
      <c r="N5" s="257"/>
      <c r="O5" s="257"/>
      <c r="P5" s="257"/>
      <c r="Q5" s="259"/>
    </row>
    <row r="6" spans="1:17" ht="20.100000000000001" customHeight="1" thickTop="1">
      <c r="A6" s="780" t="s">
        <v>343</v>
      </c>
      <c r="B6" s="782" t="s">
        <v>471</v>
      </c>
      <c r="C6" s="784" t="s">
        <v>472</v>
      </c>
      <c r="D6" s="785"/>
      <c r="E6" s="786"/>
      <c r="F6" s="787" t="s">
        <v>473</v>
      </c>
      <c r="G6" s="788"/>
      <c r="H6" s="789"/>
      <c r="I6" s="790" t="s">
        <v>474</v>
      </c>
      <c r="J6" s="791"/>
      <c r="K6" s="792"/>
      <c r="L6" s="793" t="s">
        <v>475</v>
      </c>
      <c r="M6" s="794"/>
      <c r="N6" s="795"/>
      <c r="O6" s="796" t="s">
        <v>476</v>
      </c>
      <c r="P6" s="797"/>
      <c r="Q6" s="798"/>
    </row>
    <row r="7" spans="1:17" ht="20.100000000000001" customHeight="1">
      <c r="A7" s="781"/>
      <c r="B7" s="783"/>
      <c r="C7" s="261" t="s">
        <v>477</v>
      </c>
      <c r="D7" s="261" t="s">
        <v>478</v>
      </c>
      <c r="E7" s="261" t="s">
        <v>479</v>
      </c>
      <c r="F7" s="262" t="s">
        <v>477</v>
      </c>
      <c r="G7" s="262" t="s">
        <v>478</v>
      </c>
      <c r="H7" s="262" t="s">
        <v>479</v>
      </c>
      <c r="I7" s="263" t="s">
        <v>477</v>
      </c>
      <c r="J7" s="263" t="s">
        <v>478</v>
      </c>
      <c r="K7" s="263" t="s">
        <v>479</v>
      </c>
      <c r="L7" s="264" t="s">
        <v>477</v>
      </c>
      <c r="M7" s="264" t="s">
        <v>478</v>
      </c>
      <c r="N7" s="264" t="s">
        <v>479</v>
      </c>
      <c r="O7" s="265" t="s">
        <v>477</v>
      </c>
      <c r="P7" s="265" t="s">
        <v>478</v>
      </c>
      <c r="Q7" s="265" t="s">
        <v>479</v>
      </c>
    </row>
    <row r="8" spans="1:17" ht="18.75" customHeight="1" thickBot="1">
      <c r="A8" s="266">
        <v>1</v>
      </c>
      <c r="B8" s="267">
        <v>2</v>
      </c>
      <c r="C8" s="268">
        <v>3</v>
      </c>
      <c r="D8" s="268">
        <v>4</v>
      </c>
      <c r="E8" s="268">
        <v>5</v>
      </c>
      <c r="F8" s="269">
        <v>6</v>
      </c>
      <c r="G8" s="269">
        <v>7</v>
      </c>
      <c r="H8" s="269">
        <v>8</v>
      </c>
      <c r="I8" s="270">
        <v>9</v>
      </c>
      <c r="J8" s="270">
        <v>10</v>
      </c>
      <c r="K8" s="270">
        <v>11</v>
      </c>
      <c r="L8" s="271">
        <v>12</v>
      </c>
      <c r="M8" s="271">
        <v>13</v>
      </c>
      <c r="N8" s="271">
        <v>14</v>
      </c>
      <c r="O8" s="272">
        <v>15</v>
      </c>
      <c r="P8" s="272">
        <v>16</v>
      </c>
      <c r="Q8" s="272">
        <v>17</v>
      </c>
    </row>
    <row r="9" spans="1:17" ht="27" customHeight="1" thickTop="1">
      <c r="A9" s="260"/>
      <c r="B9" s="273" t="s">
        <v>480</v>
      </c>
      <c r="C9" s="274"/>
      <c r="D9" s="274"/>
      <c r="E9" s="274">
        <f>SUM(E10+E51)</f>
        <v>7149598408</v>
      </c>
      <c r="F9" s="274"/>
      <c r="G9" s="274"/>
      <c r="H9" s="274">
        <f>SUM(H10+H51)</f>
        <v>7149598408</v>
      </c>
      <c r="I9" s="274"/>
      <c r="J9" s="274"/>
      <c r="K9" s="274">
        <f>SUM(K10+K51)</f>
        <v>4565959550</v>
      </c>
      <c r="L9" s="275"/>
      <c r="M9" s="275"/>
      <c r="N9" s="275">
        <f>SUM(N10+N51)</f>
        <v>4565959550</v>
      </c>
      <c r="O9" s="275"/>
      <c r="P9" s="275"/>
      <c r="Q9" s="275">
        <f>SUM(Q10+Q51)</f>
        <v>4565959550</v>
      </c>
    </row>
    <row r="10" spans="1:17" ht="45.6" customHeight="1">
      <c r="A10" s="276" t="s">
        <v>207</v>
      </c>
      <c r="B10" s="277" t="s">
        <v>69</v>
      </c>
      <c r="C10" s="278" t="s">
        <v>481</v>
      </c>
      <c r="D10" s="279">
        <v>1</v>
      </c>
      <c r="E10" s="280">
        <f>SUM(E11+E16+E20+E24+E28+E36+E43+E47)</f>
        <v>4173598408</v>
      </c>
      <c r="F10" s="278" t="s">
        <v>481</v>
      </c>
      <c r="G10" s="279">
        <v>1</v>
      </c>
      <c r="H10" s="280">
        <f>SUM(H11+H16+H20+H24+H28+H36+H43+H47)</f>
        <v>4173598408</v>
      </c>
      <c r="I10" s="278" t="s">
        <v>481</v>
      </c>
      <c r="J10" s="279">
        <v>1</v>
      </c>
      <c r="K10" s="280">
        <f>SUM(K11+K16+K20+K24+K28+K36+K43+K47)</f>
        <v>3004629952</v>
      </c>
      <c r="L10" s="278" t="s">
        <v>481</v>
      </c>
      <c r="M10" s="279">
        <v>1</v>
      </c>
      <c r="N10" s="281">
        <f>SUM(N11+N16+N20+N24+N28+N36+N43+N47)</f>
        <v>3004629952</v>
      </c>
      <c r="O10" s="278" t="s">
        <v>481</v>
      </c>
      <c r="P10" s="279">
        <v>1</v>
      </c>
      <c r="Q10" s="281">
        <f>SUM(Q11+Q16+Q20+Q24+Q28+Q36+Q43+Q47)</f>
        <v>3005325018</v>
      </c>
    </row>
    <row r="11" spans="1:17" ht="47.1" customHeight="1">
      <c r="A11" s="276">
        <v>1</v>
      </c>
      <c r="B11" s="277" t="s">
        <v>71</v>
      </c>
      <c r="C11" s="278" t="s">
        <v>482</v>
      </c>
      <c r="D11" s="282">
        <v>1</v>
      </c>
      <c r="E11" s="280">
        <f>SUM(E12:E15)</f>
        <v>86250000</v>
      </c>
      <c r="F11" s="278" t="s">
        <v>482</v>
      </c>
      <c r="G11" s="282">
        <v>1</v>
      </c>
      <c r="H11" s="280">
        <f>SUM(H12:H15)</f>
        <v>86250000</v>
      </c>
      <c r="I11" s="278" t="s">
        <v>482</v>
      </c>
      <c r="J11" s="282">
        <v>1</v>
      </c>
      <c r="K11" s="280">
        <f>SUM(K12:K15)</f>
        <v>77759131</v>
      </c>
      <c r="L11" s="278" t="s">
        <v>482</v>
      </c>
      <c r="M11" s="282">
        <v>1</v>
      </c>
      <c r="N11" s="281">
        <f>SUM(N12:N15)</f>
        <v>77759131</v>
      </c>
      <c r="O11" s="278" t="s">
        <v>482</v>
      </c>
      <c r="P11" s="282">
        <v>1</v>
      </c>
      <c r="Q11" s="281">
        <f>SUM(Q12:Q15)</f>
        <v>78031920</v>
      </c>
    </row>
    <row r="12" spans="1:17" ht="37.5" customHeight="1">
      <c r="A12" s="283"/>
      <c r="B12" s="284" t="s">
        <v>306</v>
      </c>
      <c r="C12" s="284" t="s">
        <v>243</v>
      </c>
      <c r="D12" s="283" t="s">
        <v>244</v>
      </c>
      <c r="E12" s="285">
        <v>21000000</v>
      </c>
      <c r="F12" s="284" t="s">
        <v>243</v>
      </c>
      <c r="G12" s="283" t="s">
        <v>244</v>
      </c>
      <c r="H12" s="285">
        <v>21000000</v>
      </c>
      <c r="I12" s="284" t="s">
        <v>243</v>
      </c>
      <c r="J12" s="283" t="s">
        <v>244</v>
      </c>
      <c r="K12" s="285">
        <v>37716145</v>
      </c>
      <c r="L12" s="284" t="s">
        <v>243</v>
      </c>
      <c r="M12" s="283" t="s">
        <v>244</v>
      </c>
      <c r="N12" s="285">
        <v>37716145</v>
      </c>
      <c r="O12" s="284" t="s">
        <v>243</v>
      </c>
      <c r="P12" s="283" t="s">
        <v>244</v>
      </c>
      <c r="Q12" s="285">
        <v>37789300</v>
      </c>
    </row>
    <row r="13" spans="1:17" ht="37.5" customHeight="1">
      <c r="A13" s="283"/>
      <c r="B13" s="284" t="s">
        <v>83</v>
      </c>
      <c r="C13" s="284" t="s">
        <v>354</v>
      </c>
      <c r="D13" s="283" t="s">
        <v>244</v>
      </c>
      <c r="E13" s="285">
        <v>12500000</v>
      </c>
      <c r="F13" s="284" t="s">
        <v>354</v>
      </c>
      <c r="G13" s="283" t="s">
        <v>244</v>
      </c>
      <c r="H13" s="285">
        <v>12500000</v>
      </c>
      <c r="I13" s="284" t="s">
        <v>354</v>
      </c>
      <c r="J13" s="283" t="s">
        <v>244</v>
      </c>
      <c r="K13" s="285">
        <v>4785466</v>
      </c>
      <c r="L13" s="284" t="s">
        <v>354</v>
      </c>
      <c r="M13" s="283" t="s">
        <v>244</v>
      </c>
      <c r="N13" s="285">
        <v>4785466</v>
      </c>
      <c r="O13" s="284" t="s">
        <v>354</v>
      </c>
      <c r="P13" s="283" t="s">
        <v>244</v>
      </c>
      <c r="Q13" s="285">
        <v>4925200</v>
      </c>
    </row>
    <row r="14" spans="1:17" ht="37.5" customHeight="1">
      <c r="A14" s="283"/>
      <c r="B14" s="284" t="s">
        <v>84</v>
      </c>
      <c r="C14" s="284" t="s">
        <v>355</v>
      </c>
      <c r="D14" s="283" t="s">
        <v>244</v>
      </c>
      <c r="E14" s="285">
        <v>12750000</v>
      </c>
      <c r="F14" s="284" t="s">
        <v>355</v>
      </c>
      <c r="G14" s="283" t="s">
        <v>244</v>
      </c>
      <c r="H14" s="285">
        <v>12750000</v>
      </c>
      <c r="I14" s="284" t="s">
        <v>355</v>
      </c>
      <c r="J14" s="283" t="s">
        <v>244</v>
      </c>
      <c r="K14" s="285">
        <v>4365240</v>
      </c>
      <c r="L14" s="284" t="s">
        <v>355</v>
      </c>
      <c r="M14" s="283" t="s">
        <v>244</v>
      </c>
      <c r="N14" s="285">
        <v>4365240</v>
      </c>
      <c r="O14" s="284" t="s">
        <v>355</v>
      </c>
      <c r="P14" s="283" t="s">
        <v>244</v>
      </c>
      <c r="Q14" s="285">
        <v>4354340</v>
      </c>
    </row>
    <row r="15" spans="1:17" ht="48" customHeight="1">
      <c r="A15" s="283"/>
      <c r="B15" s="284" t="s">
        <v>86</v>
      </c>
      <c r="C15" s="284" t="s">
        <v>483</v>
      </c>
      <c r="D15" s="283" t="s">
        <v>245</v>
      </c>
      <c r="E15" s="285">
        <v>40000000</v>
      </c>
      <c r="F15" s="284" t="s">
        <v>483</v>
      </c>
      <c r="G15" s="283" t="s">
        <v>245</v>
      </c>
      <c r="H15" s="285">
        <v>40000000</v>
      </c>
      <c r="I15" s="284" t="s">
        <v>483</v>
      </c>
      <c r="J15" s="283" t="s">
        <v>245</v>
      </c>
      <c r="K15" s="285">
        <v>30892280</v>
      </c>
      <c r="L15" s="284" t="s">
        <v>483</v>
      </c>
      <c r="M15" s="283" t="s">
        <v>245</v>
      </c>
      <c r="N15" s="285">
        <v>30892280</v>
      </c>
      <c r="O15" s="284" t="s">
        <v>483</v>
      </c>
      <c r="P15" s="283" t="s">
        <v>245</v>
      </c>
      <c r="Q15" s="285">
        <v>30963080</v>
      </c>
    </row>
    <row r="16" spans="1:17" ht="39" customHeight="1">
      <c r="A16" s="283">
        <v>2</v>
      </c>
      <c r="B16" s="277" t="s">
        <v>246</v>
      </c>
      <c r="C16" s="277" t="s">
        <v>484</v>
      </c>
      <c r="D16" s="286">
        <v>1</v>
      </c>
      <c r="E16" s="287">
        <f>SUM(E17:E19)</f>
        <v>2421768908</v>
      </c>
      <c r="F16" s="277" t="s">
        <v>484</v>
      </c>
      <c r="G16" s="286">
        <v>1</v>
      </c>
      <c r="H16" s="287">
        <f>SUM(H17:H19)</f>
        <v>2421768908</v>
      </c>
      <c r="I16" s="277" t="s">
        <v>484</v>
      </c>
      <c r="J16" s="286">
        <v>1</v>
      </c>
      <c r="K16" s="287">
        <f>SUM(K17:K19)</f>
        <v>2112095598</v>
      </c>
      <c r="L16" s="277" t="s">
        <v>484</v>
      </c>
      <c r="M16" s="286">
        <v>1</v>
      </c>
      <c r="N16" s="287">
        <f>SUM(N17:N19)</f>
        <v>2112095598</v>
      </c>
      <c r="O16" s="277" t="s">
        <v>484</v>
      </c>
      <c r="P16" s="286">
        <v>1</v>
      </c>
      <c r="Q16" s="287">
        <f>SUM(Q17:Q19)</f>
        <v>2107340335</v>
      </c>
    </row>
    <row r="17" spans="1:17" ht="30" customHeight="1">
      <c r="A17" s="283"/>
      <c r="B17" s="284" t="s">
        <v>90</v>
      </c>
      <c r="C17" s="284" t="s">
        <v>485</v>
      </c>
      <c r="D17" s="283" t="s">
        <v>486</v>
      </c>
      <c r="E17" s="288">
        <v>2350000000</v>
      </c>
      <c r="F17" s="284" t="s">
        <v>485</v>
      </c>
      <c r="G17" s="283" t="s">
        <v>486</v>
      </c>
      <c r="H17" s="288">
        <v>2350000000</v>
      </c>
      <c r="I17" s="284" t="s">
        <v>485</v>
      </c>
      <c r="J17" s="283" t="s">
        <v>487</v>
      </c>
      <c r="K17" s="288">
        <v>2072278776</v>
      </c>
      <c r="L17" s="284" t="s">
        <v>485</v>
      </c>
      <c r="M17" s="283" t="s">
        <v>488</v>
      </c>
      <c r="N17" s="288">
        <v>2072278776</v>
      </c>
      <c r="O17" s="284" t="s">
        <v>485</v>
      </c>
      <c r="P17" s="283" t="s">
        <v>488</v>
      </c>
      <c r="Q17" s="288">
        <v>2067096135</v>
      </c>
    </row>
    <row r="18" spans="1:17" ht="56.1" customHeight="1">
      <c r="A18" s="283"/>
      <c r="B18" s="284" t="s">
        <v>104</v>
      </c>
      <c r="C18" s="284" t="s">
        <v>361</v>
      </c>
      <c r="D18" s="283" t="s">
        <v>247</v>
      </c>
      <c r="E18" s="288">
        <v>61768908</v>
      </c>
      <c r="F18" s="284" t="s">
        <v>361</v>
      </c>
      <c r="G18" s="283" t="s">
        <v>247</v>
      </c>
      <c r="H18" s="288">
        <v>61768908</v>
      </c>
      <c r="I18" s="284" t="s">
        <v>361</v>
      </c>
      <c r="J18" s="283" t="s">
        <v>247</v>
      </c>
      <c r="K18" s="288">
        <v>39816822</v>
      </c>
      <c r="L18" s="284" t="s">
        <v>361</v>
      </c>
      <c r="M18" s="283" t="s">
        <v>247</v>
      </c>
      <c r="N18" s="288">
        <v>39816822</v>
      </c>
      <c r="O18" s="284" t="s">
        <v>361</v>
      </c>
      <c r="P18" s="283" t="s">
        <v>247</v>
      </c>
      <c r="Q18" s="288">
        <v>40244200</v>
      </c>
    </row>
    <row r="19" spans="1:17" ht="49.5" customHeight="1">
      <c r="A19" s="283"/>
      <c r="B19" s="284" t="s">
        <v>489</v>
      </c>
      <c r="C19" s="284" t="s">
        <v>490</v>
      </c>
      <c r="D19" s="283" t="s">
        <v>271</v>
      </c>
      <c r="E19" s="288">
        <v>10000000</v>
      </c>
      <c r="F19" s="284" t="s">
        <v>490</v>
      </c>
      <c r="G19" s="283" t="s">
        <v>271</v>
      </c>
      <c r="H19" s="288">
        <v>10000000</v>
      </c>
      <c r="I19" s="284"/>
      <c r="J19" s="283"/>
      <c r="K19" s="288">
        <v>0</v>
      </c>
      <c r="L19" s="284"/>
      <c r="M19" s="283"/>
      <c r="N19" s="288">
        <v>0</v>
      </c>
      <c r="O19" s="284"/>
      <c r="P19" s="283"/>
      <c r="Q19" s="288">
        <v>0</v>
      </c>
    </row>
    <row r="20" spans="1:17" ht="38.25">
      <c r="A20" s="283">
        <v>3</v>
      </c>
      <c r="B20" s="277" t="s">
        <v>248</v>
      </c>
      <c r="C20" s="277" t="s">
        <v>491</v>
      </c>
      <c r="D20" s="286">
        <v>1</v>
      </c>
      <c r="E20" s="287">
        <f>SUM(E21:E23)</f>
        <v>35000000</v>
      </c>
      <c r="F20" s="277" t="s">
        <v>491</v>
      </c>
      <c r="G20" s="286">
        <v>1</v>
      </c>
      <c r="H20" s="287">
        <f>SUM(H21:H23)</f>
        <v>35000000</v>
      </c>
      <c r="I20" s="277" t="s">
        <v>491</v>
      </c>
      <c r="J20" s="286">
        <v>1</v>
      </c>
      <c r="K20" s="287">
        <f>SUM(K21:K23)</f>
        <v>18009260</v>
      </c>
      <c r="L20" s="277" t="s">
        <v>491</v>
      </c>
      <c r="M20" s="286">
        <v>1</v>
      </c>
      <c r="N20" s="287">
        <f>SUM(N21:N23)</f>
        <v>18009260</v>
      </c>
      <c r="O20" s="277" t="s">
        <v>491</v>
      </c>
      <c r="P20" s="286">
        <v>1</v>
      </c>
      <c r="Q20" s="287">
        <f>SUM(Q21:Q23)</f>
        <v>17949800</v>
      </c>
    </row>
    <row r="21" spans="1:17" ht="51">
      <c r="A21" s="283"/>
      <c r="B21" s="284" t="s">
        <v>492</v>
      </c>
      <c r="C21" s="284" t="s">
        <v>493</v>
      </c>
      <c r="D21" s="283" t="s">
        <v>244</v>
      </c>
      <c r="E21" s="289">
        <v>5000000</v>
      </c>
      <c r="F21" s="284" t="s">
        <v>493</v>
      </c>
      <c r="G21" s="283" t="s">
        <v>244</v>
      </c>
      <c r="H21" s="289">
        <v>5000000</v>
      </c>
      <c r="I21" s="277"/>
      <c r="J21" s="286"/>
      <c r="K21" s="287">
        <v>0</v>
      </c>
      <c r="L21" s="277"/>
      <c r="M21" s="286"/>
      <c r="N21" s="287"/>
      <c r="O21" s="277"/>
      <c r="P21" s="286"/>
      <c r="Q21" s="287"/>
    </row>
    <row r="22" spans="1:17" ht="47.45" customHeight="1">
      <c r="A22" s="290"/>
      <c r="B22" s="284" t="s">
        <v>110</v>
      </c>
      <c r="C22" s="284" t="s">
        <v>494</v>
      </c>
      <c r="D22" s="283" t="s">
        <v>249</v>
      </c>
      <c r="E22" s="288">
        <v>20000000</v>
      </c>
      <c r="F22" s="284" t="s">
        <v>494</v>
      </c>
      <c r="G22" s="283" t="s">
        <v>249</v>
      </c>
      <c r="H22" s="288">
        <v>20000000</v>
      </c>
      <c r="I22" s="284" t="s">
        <v>494</v>
      </c>
      <c r="J22" s="283" t="s">
        <v>249</v>
      </c>
      <c r="K22" s="288">
        <v>18009260</v>
      </c>
      <c r="L22" s="284" t="s">
        <v>494</v>
      </c>
      <c r="M22" s="283" t="s">
        <v>249</v>
      </c>
      <c r="N22" s="288">
        <v>18009260</v>
      </c>
      <c r="O22" s="284" t="s">
        <v>494</v>
      </c>
      <c r="P22" s="283" t="s">
        <v>249</v>
      </c>
      <c r="Q22" s="288">
        <v>17949800</v>
      </c>
    </row>
    <row r="23" spans="1:17" ht="38.450000000000003" customHeight="1">
      <c r="A23" s="290"/>
      <c r="B23" s="284" t="s">
        <v>495</v>
      </c>
      <c r="C23" s="284" t="s">
        <v>496</v>
      </c>
      <c r="D23" s="283" t="s">
        <v>271</v>
      </c>
      <c r="E23" s="288">
        <v>10000000</v>
      </c>
      <c r="F23" s="284" t="s">
        <v>496</v>
      </c>
      <c r="G23" s="283" t="s">
        <v>271</v>
      </c>
      <c r="H23" s="288">
        <v>10000000</v>
      </c>
      <c r="I23" s="284"/>
      <c r="J23" s="283"/>
      <c r="K23" s="288">
        <v>0</v>
      </c>
      <c r="L23" s="284"/>
      <c r="M23" s="283"/>
      <c r="N23" s="288"/>
      <c r="O23" s="284"/>
      <c r="P23" s="283"/>
      <c r="Q23" s="288"/>
    </row>
    <row r="24" spans="1:17" ht="63.75">
      <c r="A24" s="283">
        <v>4</v>
      </c>
      <c r="B24" s="277" t="s">
        <v>250</v>
      </c>
      <c r="C24" s="277" t="s">
        <v>497</v>
      </c>
      <c r="D24" s="286">
        <v>1</v>
      </c>
      <c r="E24" s="287">
        <f>SUM(E25:E27)</f>
        <v>90000000</v>
      </c>
      <c r="F24" s="277" t="s">
        <v>497</v>
      </c>
      <c r="G24" s="286">
        <v>1</v>
      </c>
      <c r="H24" s="287">
        <f>SUM(H25:H27)</f>
        <v>90000000</v>
      </c>
      <c r="I24" s="277" t="s">
        <v>497</v>
      </c>
      <c r="J24" s="286">
        <v>1</v>
      </c>
      <c r="K24" s="287">
        <f>SUM(K25:K27)</f>
        <v>48750000</v>
      </c>
      <c r="L24" s="277" t="s">
        <v>497</v>
      </c>
      <c r="M24" s="286">
        <v>1</v>
      </c>
      <c r="N24" s="287">
        <f>SUM(N25:N27)</f>
        <v>48750000</v>
      </c>
      <c r="O24" s="277" t="s">
        <v>497</v>
      </c>
      <c r="P24" s="286">
        <v>1</v>
      </c>
      <c r="Q24" s="287">
        <f>SUM(Q25:Q27)</f>
        <v>35500000</v>
      </c>
    </row>
    <row r="25" spans="1:17" ht="51">
      <c r="A25" s="283"/>
      <c r="B25" s="284" t="s">
        <v>498</v>
      </c>
      <c r="C25" s="284" t="s">
        <v>499</v>
      </c>
      <c r="D25" s="283" t="s">
        <v>500</v>
      </c>
      <c r="E25" s="288">
        <v>20000000</v>
      </c>
      <c r="F25" s="284" t="s">
        <v>499</v>
      </c>
      <c r="G25" s="283" t="s">
        <v>500</v>
      </c>
      <c r="H25" s="288">
        <v>20000000</v>
      </c>
      <c r="I25" s="284" t="s">
        <v>499</v>
      </c>
      <c r="J25" s="283" t="s">
        <v>500</v>
      </c>
      <c r="K25" s="289">
        <v>13250000</v>
      </c>
      <c r="L25" s="284" t="s">
        <v>499</v>
      </c>
      <c r="M25" s="283" t="s">
        <v>500</v>
      </c>
      <c r="N25" s="289">
        <v>13250000</v>
      </c>
      <c r="O25" s="284"/>
      <c r="P25" s="283"/>
      <c r="Q25" s="289">
        <v>0</v>
      </c>
    </row>
    <row r="26" spans="1:17" ht="42.95" customHeight="1">
      <c r="A26" s="290"/>
      <c r="B26" s="284" t="s">
        <v>251</v>
      </c>
      <c r="C26" s="284" t="s">
        <v>501</v>
      </c>
      <c r="D26" s="283" t="s">
        <v>502</v>
      </c>
      <c r="E26" s="288">
        <v>60000000</v>
      </c>
      <c r="F26" s="284" t="s">
        <v>501</v>
      </c>
      <c r="G26" s="283" t="s">
        <v>502</v>
      </c>
      <c r="H26" s="288">
        <v>60000000</v>
      </c>
      <c r="I26" s="284" t="s">
        <v>501</v>
      </c>
      <c r="J26" s="283" t="s">
        <v>502</v>
      </c>
      <c r="K26" s="288">
        <v>35500000</v>
      </c>
      <c r="L26" s="284" t="s">
        <v>501</v>
      </c>
      <c r="M26" s="283" t="s">
        <v>252</v>
      </c>
      <c r="N26" s="288">
        <v>35500000</v>
      </c>
      <c r="O26" s="284" t="s">
        <v>501</v>
      </c>
      <c r="P26" s="283" t="s">
        <v>252</v>
      </c>
      <c r="Q26" s="288">
        <v>35500000</v>
      </c>
    </row>
    <row r="27" spans="1:17" ht="40.5" customHeight="1">
      <c r="A27" s="290"/>
      <c r="B27" s="284" t="s">
        <v>503</v>
      </c>
      <c r="C27" s="284" t="s">
        <v>504</v>
      </c>
      <c r="D27" s="283" t="s">
        <v>505</v>
      </c>
      <c r="E27" s="288">
        <v>10000000</v>
      </c>
      <c r="F27" s="284" t="s">
        <v>504</v>
      </c>
      <c r="G27" s="283" t="s">
        <v>505</v>
      </c>
      <c r="H27" s="288">
        <v>10000000</v>
      </c>
      <c r="I27" s="284"/>
      <c r="J27" s="283"/>
      <c r="K27" s="288">
        <v>0</v>
      </c>
      <c r="L27" s="284"/>
      <c r="M27" s="283"/>
      <c r="N27" s="288">
        <v>0</v>
      </c>
      <c r="O27" s="284"/>
      <c r="P27" s="283"/>
      <c r="Q27" s="288">
        <v>0</v>
      </c>
    </row>
    <row r="28" spans="1:17" ht="42.6" customHeight="1">
      <c r="A28" s="283">
        <v>5</v>
      </c>
      <c r="B28" s="277" t="s">
        <v>253</v>
      </c>
      <c r="C28" s="277" t="s">
        <v>506</v>
      </c>
      <c r="D28" s="286">
        <v>1</v>
      </c>
      <c r="E28" s="287">
        <f>SUM(E29:E35)</f>
        <v>519500000</v>
      </c>
      <c r="F28" s="277" t="s">
        <v>506</v>
      </c>
      <c r="G28" s="286">
        <v>1</v>
      </c>
      <c r="H28" s="287">
        <f>SUM(H29:H35)</f>
        <v>519500000</v>
      </c>
      <c r="I28" s="277" t="s">
        <v>506</v>
      </c>
      <c r="J28" s="286">
        <v>1</v>
      </c>
      <c r="K28" s="287">
        <f>SUM(K29:K35)</f>
        <v>393759800</v>
      </c>
      <c r="L28" s="277" t="s">
        <v>506</v>
      </c>
      <c r="M28" s="286">
        <v>1</v>
      </c>
      <c r="N28" s="287">
        <f>SUM(N29:N35)</f>
        <v>393759800</v>
      </c>
      <c r="O28" s="277" t="s">
        <v>506</v>
      </c>
      <c r="P28" s="286">
        <v>1</v>
      </c>
      <c r="Q28" s="287">
        <f>SUM(Q29:Q35)</f>
        <v>393759800</v>
      </c>
    </row>
    <row r="29" spans="1:17" ht="37.5" customHeight="1">
      <c r="A29" s="290"/>
      <c r="B29" s="284" t="s">
        <v>119</v>
      </c>
      <c r="C29" s="284" t="s">
        <v>366</v>
      </c>
      <c r="D29" s="283" t="s">
        <v>507</v>
      </c>
      <c r="E29" s="288">
        <v>18000000</v>
      </c>
      <c r="F29" s="284" t="s">
        <v>366</v>
      </c>
      <c r="G29" s="283" t="s">
        <v>507</v>
      </c>
      <c r="H29" s="288">
        <v>18000000</v>
      </c>
      <c r="I29" s="284" t="s">
        <v>366</v>
      </c>
      <c r="J29" s="283" t="s">
        <v>507</v>
      </c>
      <c r="K29" s="288">
        <v>12625000</v>
      </c>
      <c r="L29" s="284" t="s">
        <v>366</v>
      </c>
      <c r="M29" s="283" t="s">
        <v>507</v>
      </c>
      <c r="N29" s="288">
        <v>12625000</v>
      </c>
      <c r="O29" s="284" t="s">
        <v>366</v>
      </c>
      <c r="P29" s="283" t="s">
        <v>507</v>
      </c>
      <c r="Q29" s="288">
        <v>12625000</v>
      </c>
    </row>
    <row r="30" spans="1:17" ht="30.95" customHeight="1">
      <c r="A30" s="290"/>
      <c r="B30" s="284" t="s">
        <v>122</v>
      </c>
      <c r="C30" s="284" t="s">
        <v>367</v>
      </c>
      <c r="D30" s="283" t="s">
        <v>508</v>
      </c>
      <c r="E30" s="288">
        <v>30000000</v>
      </c>
      <c r="F30" s="284" t="s">
        <v>367</v>
      </c>
      <c r="G30" s="283" t="s">
        <v>508</v>
      </c>
      <c r="H30" s="288">
        <v>30000000</v>
      </c>
      <c r="I30" s="284" t="s">
        <v>367</v>
      </c>
      <c r="J30" s="283" t="s">
        <v>508</v>
      </c>
      <c r="K30" s="288">
        <v>25000000</v>
      </c>
      <c r="L30" s="284" t="s">
        <v>367</v>
      </c>
      <c r="M30" s="283" t="s">
        <v>508</v>
      </c>
      <c r="N30" s="288">
        <v>25000000</v>
      </c>
      <c r="O30" s="284" t="s">
        <v>367</v>
      </c>
      <c r="P30" s="283" t="s">
        <v>508</v>
      </c>
      <c r="Q30" s="288">
        <v>25000000</v>
      </c>
    </row>
    <row r="31" spans="1:17" ht="34.5" customHeight="1">
      <c r="A31" s="290"/>
      <c r="B31" s="284" t="s">
        <v>127</v>
      </c>
      <c r="C31" s="284" t="s">
        <v>368</v>
      </c>
      <c r="D31" s="283" t="s">
        <v>509</v>
      </c>
      <c r="E31" s="288">
        <v>40000000</v>
      </c>
      <c r="F31" s="284" t="s">
        <v>368</v>
      </c>
      <c r="G31" s="283" t="s">
        <v>509</v>
      </c>
      <c r="H31" s="288">
        <v>40000000</v>
      </c>
      <c r="I31" s="284" t="s">
        <v>368</v>
      </c>
      <c r="J31" s="283" t="s">
        <v>509</v>
      </c>
      <c r="K31" s="288">
        <v>25000000</v>
      </c>
      <c r="L31" s="284" t="s">
        <v>368</v>
      </c>
      <c r="M31" s="283" t="s">
        <v>509</v>
      </c>
      <c r="N31" s="288">
        <v>25000000</v>
      </c>
      <c r="O31" s="284" t="s">
        <v>368</v>
      </c>
      <c r="P31" s="283" t="s">
        <v>509</v>
      </c>
      <c r="Q31" s="288">
        <v>25000000</v>
      </c>
    </row>
    <row r="32" spans="1:17" ht="42.95" customHeight="1">
      <c r="A32" s="290"/>
      <c r="B32" s="284" t="s">
        <v>128</v>
      </c>
      <c r="C32" s="284" t="s">
        <v>369</v>
      </c>
      <c r="D32" s="283" t="s">
        <v>510</v>
      </c>
      <c r="E32" s="288">
        <v>6500000</v>
      </c>
      <c r="F32" s="284" t="s">
        <v>369</v>
      </c>
      <c r="G32" s="283" t="s">
        <v>510</v>
      </c>
      <c r="H32" s="288">
        <v>6500000</v>
      </c>
      <c r="I32" s="284" t="s">
        <v>369</v>
      </c>
      <c r="J32" s="283" t="s">
        <v>510</v>
      </c>
      <c r="K32" s="288">
        <v>6720000</v>
      </c>
      <c r="L32" s="284" t="s">
        <v>369</v>
      </c>
      <c r="M32" s="283" t="s">
        <v>510</v>
      </c>
      <c r="N32" s="288">
        <v>6720000</v>
      </c>
      <c r="O32" s="284" t="s">
        <v>369</v>
      </c>
      <c r="P32" s="283" t="s">
        <v>510</v>
      </c>
      <c r="Q32" s="288">
        <v>6720000</v>
      </c>
    </row>
    <row r="33" spans="1:17" ht="28.5" customHeight="1">
      <c r="A33" s="290"/>
      <c r="B33" s="284" t="s">
        <v>131</v>
      </c>
      <c r="C33" s="284" t="s">
        <v>370</v>
      </c>
      <c r="D33" s="283" t="s">
        <v>511</v>
      </c>
      <c r="E33" s="288">
        <v>15000000</v>
      </c>
      <c r="F33" s="284" t="s">
        <v>370</v>
      </c>
      <c r="G33" s="283" t="s">
        <v>511</v>
      </c>
      <c r="H33" s="288">
        <v>15000000</v>
      </c>
      <c r="I33" s="284" t="s">
        <v>370</v>
      </c>
      <c r="J33" s="283" t="s">
        <v>511</v>
      </c>
      <c r="K33" s="288">
        <v>14850000</v>
      </c>
      <c r="L33" s="284" t="s">
        <v>370</v>
      </c>
      <c r="M33" s="283" t="s">
        <v>511</v>
      </c>
      <c r="N33" s="288">
        <v>14850000</v>
      </c>
      <c r="O33" s="284" t="s">
        <v>370</v>
      </c>
      <c r="P33" s="283" t="s">
        <v>511</v>
      </c>
      <c r="Q33" s="288">
        <v>14850000</v>
      </c>
    </row>
    <row r="34" spans="1:17" ht="33.6" customHeight="1">
      <c r="A34" s="290"/>
      <c r="B34" s="284" t="s">
        <v>135</v>
      </c>
      <c r="C34" s="284" t="s">
        <v>512</v>
      </c>
      <c r="D34" s="283" t="s">
        <v>513</v>
      </c>
      <c r="E34" s="288">
        <v>400000000</v>
      </c>
      <c r="F34" s="284" t="s">
        <v>512</v>
      </c>
      <c r="G34" s="283" t="s">
        <v>513</v>
      </c>
      <c r="H34" s="288">
        <v>400000000</v>
      </c>
      <c r="I34" s="284" t="s">
        <v>512</v>
      </c>
      <c r="J34" s="283" t="s">
        <v>514</v>
      </c>
      <c r="K34" s="288">
        <v>309564800</v>
      </c>
      <c r="L34" s="284" t="s">
        <v>512</v>
      </c>
      <c r="M34" s="283">
        <v>41</v>
      </c>
      <c r="N34" s="288">
        <v>309564800</v>
      </c>
      <c r="O34" s="284" t="s">
        <v>512</v>
      </c>
      <c r="P34" s="283">
        <v>41</v>
      </c>
      <c r="Q34" s="288">
        <v>309564800</v>
      </c>
    </row>
    <row r="35" spans="1:17" ht="36" customHeight="1">
      <c r="A35" s="290"/>
      <c r="B35" s="284" t="s">
        <v>515</v>
      </c>
      <c r="C35" s="284" t="s">
        <v>516</v>
      </c>
      <c r="D35" s="283" t="s">
        <v>271</v>
      </c>
      <c r="E35" s="288">
        <v>10000000</v>
      </c>
      <c r="F35" s="284" t="s">
        <v>516</v>
      </c>
      <c r="G35" s="283" t="s">
        <v>271</v>
      </c>
      <c r="H35" s="288">
        <v>10000000</v>
      </c>
      <c r="I35" s="284"/>
      <c r="J35" s="283"/>
      <c r="K35" s="288">
        <v>0</v>
      </c>
      <c r="L35" s="284"/>
      <c r="M35" s="283"/>
      <c r="N35" s="288">
        <v>0</v>
      </c>
      <c r="O35" s="284"/>
      <c r="P35" s="283"/>
      <c r="Q35" s="288">
        <v>0</v>
      </c>
    </row>
    <row r="36" spans="1:17" ht="39.6" customHeight="1">
      <c r="A36" s="283">
        <v>6</v>
      </c>
      <c r="B36" s="277" t="s">
        <v>254</v>
      </c>
      <c r="C36" s="277" t="s">
        <v>517</v>
      </c>
      <c r="D36" s="282">
        <v>1</v>
      </c>
      <c r="E36" s="287">
        <f>SUM(E37:E42)</f>
        <v>765000000</v>
      </c>
      <c r="F36" s="277" t="s">
        <v>517</v>
      </c>
      <c r="G36" s="282">
        <v>1</v>
      </c>
      <c r="H36" s="287">
        <f>SUM(H37:H42)</f>
        <v>765000000</v>
      </c>
      <c r="I36" s="277" t="s">
        <v>517</v>
      </c>
      <c r="J36" s="282">
        <v>1</v>
      </c>
      <c r="K36" s="287">
        <f>SUM(K37:K42)</f>
        <v>145000000</v>
      </c>
      <c r="L36" s="277" t="s">
        <v>517</v>
      </c>
      <c r="M36" s="282">
        <v>1</v>
      </c>
      <c r="N36" s="287">
        <f>SUM(N37:N42)</f>
        <v>145000000</v>
      </c>
      <c r="O36" s="277" t="s">
        <v>517</v>
      </c>
      <c r="P36" s="282">
        <v>1</v>
      </c>
      <c r="Q36" s="287">
        <f>SUM(Q37:Q42)</f>
        <v>163500000</v>
      </c>
    </row>
    <row r="37" spans="1:17" ht="26.45" customHeight="1">
      <c r="A37" s="290"/>
      <c r="B37" s="284" t="s">
        <v>140</v>
      </c>
      <c r="C37" s="284" t="s">
        <v>518</v>
      </c>
      <c r="D37" s="291" t="s">
        <v>519</v>
      </c>
      <c r="E37" s="292">
        <v>40000000</v>
      </c>
      <c r="F37" s="284" t="s">
        <v>518</v>
      </c>
      <c r="G37" s="291" t="s">
        <v>519</v>
      </c>
      <c r="H37" s="292">
        <v>40000000</v>
      </c>
      <c r="I37" s="284" t="s">
        <v>518</v>
      </c>
      <c r="J37" s="291" t="s">
        <v>255</v>
      </c>
      <c r="K37" s="292">
        <v>30000000</v>
      </c>
      <c r="L37" s="284" t="s">
        <v>518</v>
      </c>
      <c r="M37" s="291" t="s">
        <v>267</v>
      </c>
      <c r="N37" s="293">
        <v>30000000</v>
      </c>
      <c r="O37" s="284" t="s">
        <v>518</v>
      </c>
      <c r="P37" s="291" t="s">
        <v>256</v>
      </c>
      <c r="Q37" s="292">
        <v>30000000</v>
      </c>
    </row>
    <row r="38" spans="1:17" ht="33.950000000000003" customHeight="1">
      <c r="A38" s="290"/>
      <c r="B38" s="284" t="s">
        <v>138</v>
      </c>
      <c r="C38" s="284" t="s">
        <v>520</v>
      </c>
      <c r="D38" s="291" t="s">
        <v>521</v>
      </c>
      <c r="E38" s="292">
        <v>25000000</v>
      </c>
      <c r="F38" s="284" t="s">
        <v>520</v>
      </c>
      <c r="G38" s="291" t="s">
        <v>521</v>
      </c>
      <c r="H38" s="292">
        <v>25000000</v>
      </c>
      <c r="I38" s="284" t="s">
        <v>520</v>
      </c>
      <c r="J38" s="291" t="s">
        <v>256</v>
      </c>
      <c r="K38" s="292">
        <v>15000000</v>
      </c>
      <c r="L38" s="284" t="s">
        <v>520</v>
      </c>
      <c r="M38" s="291" t="s">
        <v>522</v>
      </c>
      <c r="N38" s="292">
        <v>15000000</v>
      </c>
      <c r="O38" s="284" t="s">
        <v>520</v>
      </c>
      <c r="P38" s="291" t="s">
        <v>523</v>
      </c>
      <c r="Q38" s="292">
        <v>15000000</v>
      </c>
    </row>
    <row r="39" spans="1:17" ht="39.950000000000003" customHeight="1">
      <c r="A39" s="283"/>
      <c r="B39" s="284" t="s">
        <v>257</v>
      </c>
      <c r="C39" s="284" t="s">
        <v>258</v>
      </c>
      <c r="D39" s="291" t="s">
        <v>259</v>
      </c>
      <c r="E39" s="292">
        <v>100000000</v>
      </c>
      <c r="F39" s="284" t="s">
        <v>258</v>
      </c>
      <c r="G39" s="291" t="s">
        <v>259</v>
      </c>
      <c r="H39" s="292">
        <v>100000000</v>
      </c>
      <c r="I39" s="284" t="s">
        <v>258</v>
      </c>
      <c r="J39" s="291" t="s">
        <v>259</v>
      </c>
      <c r="K39" s="292">
        <v>85000000</v>
      </c>
      <c r="L39" s="284" t="s">
        <v>258</v>
      </c>
      <c r="M39" s="291" t="s">
        <v>524</v>
      </c>
      <c r="N39" s="292">
        <v>85000000</v>
      </c>
      <c r="O39" s="284" t="s">
        <v>258</v>
      </c>
      <c r="P39" s="291" t="s">
        <v>524</v>
      </c>
      <c r="Q39" s="292">
        <v>85000000</v>
      </c>
    </row>
    <row r="40" spans="1:17" ht="48.6" customHeight="1">
      <c r="A40" s="283"/>
      <c r="B40" s="284" t="s">
        <v>260</v>
      </c>
      <c r="C40" s="284" t="s">
        <v>261</v>
      </c>
      <c r="D40" s="291" t="s">
        <v>255</v>
      </c>
      <c r="E40" s="292">
        <v>50000000</v>
      </c>
      <c r="F40" s="284" t="s">
        <v>261</v>
      </c>
      <c r="G40" s="291" t="s">
        <v>255</v>
      </c>
      <c r="H40" s="292">
        <v>50000000</v>
      </c>
      <c r="I40" s="284" t="s">
        <v>261</v>
      </c>
      <c r="J40" s="291" t="s">
        <v>262</v>
      </c>
      <c r="K40" s="292">
        <v>15000000</v>
      </c>
      <c r="L40" s="284" t="s">
        <v>261</v>
      </c>
      <c r="M40" s="291" t="s">
        <v>525</v>
      </c>
      <c r="N40" s="292">
        <v>15000000</v>
      </c>
      <c r="O40" s="284" t="s">
        <v>261</v>
      </c>
      <c r="P40" s="291" t="s">
        <v>525</v>
      </c>
      <c r="Q40" s="292">
        <v>33500000</v>
      </c>
    </row>
    <row r="41" spans="1:17" ht="33.6" customHeight="1">
      <c r="A41" s="283"/>
      <c r="B41" s="284" t="s">
        <v>526</v>
      </c>
      <c r="C41" s="284" t="s">
        <v>527</v>
      </c>
      <c r="D41" s="291" t="s">
        <v>259</v>
      </c>
      <c r="E41" s="292">
        <v>50000000</v>
      </c>
      <c r="F41" s="284" t="s">
        <v>527</v>
      </c>
      <c r="G41" s="291" t="s">
        <v>259</v>
      </c>
      <c r="H41" s="292">
        <v>50000000</v>
      </c>
      <c r="I41" s="284"/>
      <c r="J41" s="291"/>
      <c r="K41" s="292">
        <v>0</v>
      </c>
      <c r="L41" s="284"/>
      <c r="M41" s="291"/>
      <c r="N41" s="292">
        <v>0</v>
      </c>
      <c r="O41" s="284"/>
      <c r="P41" s="291"/>
      <c r="Q41" s="292">
        <v>0</v>
      </c>
    </row>
    <row r="42" spans="1:17" ht="39.950000000000003" customHeight="1">
      <c r="A42" s="283"/>
      <c r="B42" s="284" t="s">
        <v>376</v>
      </c>
      <c r="C42" s="284" t="s">
        <v>528</v>
      </c>
      <c r="D42" s="291" t="s">
        <v>259</v>
      </c>
      <c r="E42" s="292">
        <v>500000000</v>
      </c>
      <c r="F42" s="284" t="s">
        <v>528</v>
      </c>
      <c r="G42" s="291" t="s">
        <v>259</v>
      </c>
      <c r="H42" s="292">
        <v>500000000</v>
      </c>
      <c r="I42" s="284"/>
      <c r="J42" s="291"/>
      <c r="K42" s="292">
        <v>0</v>
      </c>
      <c r="L42" s="284"/>
      <c r="M42" s="291"/>
      <c r="N42" s="292">
        <v>0</v>
      </c>
      <c r="O42" s="284"/>
      <c r="P42" s="291"/>
      <c r="Q42" s="292">
        <v>0</v>
      </c>
    </row>
    <row r="43" spans="1:17" ht="51">
      <c r="A43" s="283">
        <v>7</v>
      </c>
      <c r="B43" s="277" t="s">
        <v>263</v>
      </c>
      <c r="C43" s="277" t="s">
        <v>529</v>
      </c>
      <c r="D43" s="286">
        <v>1</v>
      </c>
      <c r="E43" s="287">
        <f>SUM(E44:E46)</f>
        <v>91079500</v>
      </c>
      <c r="F43" s="277" t="s">
        <v>529</v>
      </c>
      <c r="G43" s="286">
        <v>1</v>
      </c>
      <c r="H43" s="287">
        <f>SUM(H44:H46)</f>
        <v>91079500</v>
      </c>
      <c r="I43" s="277" t="s">
        <v>529</v>
      </c>
      <c r="J43" s="286">
        <v>1</v>
      </c>
      <c r="K43" s="287">
        <f>SUM(K44:K46)</f>
        <v>86416163</v>
      </c>
      <c r="L43" s="277" t="s">
        <v>529</v>
      </c>
      <c r="M43" s="286">
        <v>1</v>
      </c>
      <c r="N43" s="287">
        <f>SUM(N44:N46)</f>
        <v>86416163</v>
      </c>
      <c r="O43" s="277" t="s">
        <v>529</v>
      </c>
      <c r="P43" s="286">
        <v>1</v>
      </c>
      <c r="Q43" s="287">
        <f>SUM(Q44:Q46)</f>
        <v>86403163</v>
      </c>
    </row>
    <row r="44" spans="1:17" ht="33.6" customHeight="1">
      <c r="A44" s="290"/>
      <c r="B44" s="284" t="s">
        <v>143</v>
      </c>
      <c r="C44" s="284" t="s">
        <v>264</v>
      </c>
      <c r="D44" s="283" t="s">
        <v>530</v>
      </c>
      <c r="E44" s="294">
        <v>4250000</v>
      </c>
      <c r="F44" s="284" t="s">
        <v>264</v>
      </c>
      <c r="G44" s="283" t="s">
        <v>530</v>
      </c>
      <c r="H44" s="294">
        <v>4250000</v>
      </c>
      <c r="I44" s="284" t="s">
        <v>264</v>
      </c>
      <c r="J44" s="283" t="s">
        <v>530</v>
      </c>
      <c r="K44" s="294">
        <v>4195475</v>
      </c>
      <c r="L44" s="284" t="s">
        <v>264</v>
      </c>
      <c r="M44" s="283" t="s">
        <v>530</v>
      </c>
      <c r="N44" s="294">
        <v>4195475</v>
      </c>
      <c r="O44" s="284" t="s">
        <v>264</v>
      </c>
      <c r="P44" s="283" t="s">
        <v>530</v>
      </c>
      <c r="Q44" s="294">
        <v>4182475</v>
      </c>
    </row>
    <row r="45" spans="1:17" ht="44.45" customHeight="1">
      <c r="A45" s="290"/>
      <c r="B45" s="284" t="s">
        <v>531</v>
      </c>
      <c r="C45" s="284" t="s">
        <v>380</v>
      </c>
      <c r="D45" s="283" t="s">
        <v>532</v>
      </c>
      <c r="E45" s="294">
        <v>65000000</v>
      </c>
      <c r="F45" s="284" t="s">
        <v>380</v>
      </c>
      <c r="G45" s="283" t="s">
        <v>532</v>
      </c>
      <c r="H45" s="294">
        <v>65000000</v>
      </c>
      <c r="I45" s="284" t="s">
        <v>380</v>
      </c>
      <c r="J45" s="283" t="s">
        <v>532</v>
      </c>
      <c r="K45" s="294">
        <v>62420688</v>
      </c>
      <c r="L45" s="284" t="s">
        <v>380</v>
      </c>
      <c r="M45" s="283" t="s">
        <v>532</v>
      </c>
      <c r="N45" s="294">
        <v>62420688</v>
      </c>
      <c r="O45" s="284" t="s">
        <v>380</v>
      </c>
      <c r="P45" s="283" t="s">
        <v>532</v>
      </c>
      <c r="Q45" s="294">
        <v>62420688</v>
      </c>
    </row>
    <row r="46" spans="1:17" ht="38.450000000000003" customHeight="1">
      <c r="A46" s="290"/>
      <c r="B46" s="284" t="s">
        <v>155</v>
      </c>
      <c r="C46" s="284" t="s">
        <v>533</v>
      </c>
      <c r="D46" s="283" t="s">
        <v>534</v>
      </c>
      <c r="E46" s="294">
        <v>21829500</v>
      </c>
      <c r="F46" s="284" t="s">
        <v>533</v>
      </c>
      <c r="G46" s="283" t="s">
        <v>534</v>
      </c>
      <c r="H46" s="294">
        <v>21829500</v>
      </c>
      <c r="I46" s="284" t="s">
        <v>533</v>
      </c>
      <c r="J46" s="283" t="s">
        <v>534</v>
      </c>
      <c r="K46" s="294">
        <v>19800000</v>
      </c>
      <c r="L46" s="284" t="s">
        <v>533</v>
      </c>
      <c r="M46" s="283" t="s">
        <v>534</v>
      </c>
      <c r="N46" s="288">
        <v>19800000</v>
      </c>
      <c r="O46" s="284" t="s">
        <v>533</v>
      </c>
      <c r="P46" s="283" t="s">
        <v>534</v>
      </c>
      <c r="Q46" s="288">
        <v>19800000</v>
      </c>
    </row>
    <row r="47" spans="1:17" ht="50.1" customHeight="1">
      <c r="A47" s="283">
        <v>8</v>
      </c>
      <c r="B47" s="277" t="s">
        <v>266</v>
      </c>
      <c r="C47" s="277" t="s">
        <v>535</v>
      </c>
      <c r="D47" s="286">
        <v>1</v>
      </c>
      <c r="E47" s="295">
        <f>SUM(E48:E50)</f>
        <v>165000000</v>
      </c>
      <c r="F47" s="277" t="s">
        <v>535</v>
      </c>
      <c r="G47" s="286">
        <v>1</v>
      </c>
      <c r="H47" s="295">
        <f>SUM(H48:H50)</f>
        <v>165000000</v>
      </c>
      <c r="I47" s="277" t="s">
        <v>535</v>
      </c>
      <c r="J47" s="286">
        <v>1</v>
      </c>
      <c r="K47" s="296">
        <f>SUM(K48:K50)</f>
        <v>122840000</v>
      </c>
      <c r="L47" s="277" t="s">
        <v>535</v>
      </c>
      <c r="M47" s="286">
        <v>1</v>
      </c>
      <c r="N47" s="296">
        <f>SUM(N48:N50)</f>
        <v>122840000</v>
      </c>
      <c r="O47" s="277" t="s">
        <v>535</v>
      </c>
      <c r="P47" s="286">
        <v>1</v>
      </c>
      <c r="Q47" s="296">
        <f>SUM(Q48:Q50)</f>
        <v>122840000</v>
      </c>
    </row>
    <row r="48" spans="1:17" ht="42.95" customHeight="1">
      <c r="A48" s="290"/>
      <c r="B48" s="284" t="s">
        <v>536</v>
      </c>
      <c r="C48" s="284" t="s">
        <v>384</v>
      </c>
      <c r="D48" s="283" t="s">
        <v>537</v>
      </c>
      <c r="E48" s="288">
        <v>110000000</v>
      </c>
      <c r="F48" s="284" t="s">
        <v>384</v>
      </c>
      <c r="G48" s="283" t="s">
        <v>537</v>
      </c>
      <c r="H48" s="288">
        <v>110000000</v>
      </c>
      <c r="I48" s="284" t="s">
        <v>384</v>
      </c>
      <c r="J48" s="283" t="s">
        <v>537</v>
      </c>
      <c r="K48" s="288">
        <v>93300000</v>
      </c>
      <c r="L48" s="284" t="s">
        <v>384</v>
      </c>
      <c r="M48" s="283" t="s">
        <v>537</v>
      </c>
      <c r="N48" s="288">
        <v>93300000</v>
      </c>
      <c r="O48" s="284" t="s">
        <v>384</v>
      </c>
      <c r="P48" s="283" t="s">
        <v>537</v>
      </c>
      <c r="Q48" s="288">
        <v>93300000</v>
      </c>
    </row>
    <row r="49" spans="1:17" ht="32.450000000000003" customHeight="1">
      <c r="A49" s="290"/>
      <c r="B49" s="284" t="s">
        <v>164</v>
      </c>
      <c r="C49" s="284" t="s">
        <v>385</v>
      </c>
      <c r="D49" s="283" t="s">
        <v>538</v>
      </c>
      <c r="E49" s="288">
        <v>30000000</v>
      </c>
      <c r="F49" s="284" t="s">
        <v>385</v>
      </c>
      <c r="G49" s="283" t="s">
        <v>538</v>
      </c>
      <c r="H49" s="288">
        <v>30000000</v>
      </c>
      <c r="I49" s="284" t="s">
        <v>385</v>
      </c>
      <c r="J49" s="283" t="s">
        <v>539</v>
      </c>
      <c r="K49" s="288">
        <v>19540000</v>
      </c>
      <c r="L49" s="284" t="s">
        <v>385</v>
      </c>
      <c r="M49" s="283" t="s">
        <v>540</v>
      </c>
      <c r="N49" s="288">
        <v>19540000</v>
      </c>
      <c r="O49" s="284" t="s">
        <v>385</v>
      </c>
      <c r="P49" s="283" t="s">
        <v>540</v>
      </c>
      <c r="Q49" s="288">
        <v>19540000</v>
      </c>
    </row>
    <row r="50" spans="1:17" ht="41.45" customHeight="1">
      <c r="A50" s="290"/>
      <c r="B50" s="284" t="s">
        <v>173</v>
      </c>
      <c r="C50" s="284" t="s">
        <v>386</v>
      </c>
      <c r="D50" s="283" t="s">
        <v>541</v>
      </c>
      <c r="E50" s="288">
        <v>25000000</v>
      </c>
      <c r="F50" s="284" t="s">
        <v>386</v>
      </c>
      <c r="G50" s="283" t="s">
        <v>541</v>
      </c>
      <c r="H50" s="288">
        <v>25000000</v>
      </c>
      <c r="I50" s="284" t="s">
        <v>386</v>
      </c>
      <c r="J50" s="283" t="s">
        <v>541</v>
      </c>
      <c r="K50" s="288">
        <v>10000000</v>
      </c>
      <c r="L50" s="284" t="s">
        <v>386</v>
      </c>
      <c r="M50" s="283" t="s">
        <v>541</v>
      </c>
      <c r="N50" s="288">
        <v>10000000</v>
      </c>
      <c r="O50" s="284" t="s">
        <v>386</v>
      </c>
      <c r="P50" s="283" t="s">
        <v>523</v>
      </c>
      <c r="Q50" s="288">
        <v>10000000</v>
      </c>
    </row>
    <row r="51" spans="1:17" ht="23.25" customHeight="1">
      <c r="A51" s="297" t="s">
        <v>208</v>
      </c>
      <c r="B51" s="277" t="s">
        <v>175</v>
      </c>
      <c r="C51" s="284"/>
      <c r="D51" s="283"/>
      <c r="E51" s="295">
        <f>SUM(E52+E55+E63+E69)</f>
        <v>2976000000</v>
      </c>
      <c r="F51" s="284"/>
      <c r="G51" s="283"/>
      <c r="H51" s="295">
        <f>SUM(H52+H55+H63+H69)</f>
        <v>2976000000</v>
      </c>
      <c r="I51" s="284"/>
      <c r="J51" s="283"/>
      <c r="K51" s="295">
        <f>SUM(K52+K55+K63+K69)</f>
        <v>1561329598</v>
      </c>
      <c r="L51" s="284"/>
      <c r="M51" s="283"/>
      <c r="N51" s="295">
        <f>SUM(N52+N55+N63+N69)</f>
        <v>1561329598</v>
      </c>
      <c r="O51" s="284"/>
      <c r="P51" s="283"/>
      <c r="Q51" s="295">
        <f>SUM(Q52+Q55+Q63+Q69)</f>
        <v>1560634532</v>
      </c>
    </row>
    <row r="52" spans="1:17" ht="39.6" customHeight="1">
      <c r="A52" s="290">
        <v>9</v>
      </c>
      <c r="B52" s="277" t="s">
        <v>269</v>
      </c>
      <c r="C52" s="277" t="s">
        <v>388</v>
      </c>
      <c r="D52" s="298">
        <v>1E-3</v>
      </c>
      <c r="E52" s="287">
        <f>SUM(E53:E54)</f>
        <v>475000000</v>
      </c>
      <c r="F52" s="277" t="s">
        <v>388</v>
      </c>
      <c r="G52" s="298">
        <v>1E-3</v>
      </c>
      <c r="H52" s="287">
        <f>SUM(H53:H54)</f>
        <v>475000000</v>
      </c>
      <c r="I52" s="277" t="s">
        <v>388</v>
      </c>
      <c r="J52" s="298">
        <v>1E-3</v>
      </c>
      <c r="K52" s="287">
        <f>SUM(K53:K54)</f>
        <v>196509509</v>
      </c>
      <c r="L52" s="277" t="s">
        <v>388</v>
      </c>
      <c r="M52" s="298">
        <v>1E-3</v>
      </c>
      <c r="N52" s="287">
        <f>SUM(N53:N54)</f>
        <v>196509509</v>
      </c>
      <c r="O52" s="277" t="s">
        <v>388</v>
      </c>
      <c r="P52" s="298">
        <v>1E-3</v>
      </c>
      <c r="Q52" s="287">
        <f>SUM(Q53:Q54)</f>
        <v>200201742</v>
      </c>
    </row>
    <row r="53" spans="1:17" ht="34.5" customHeight="1">
      <c r="A53" s="290"/>
      <c r="B53" s="284" t="s">
        <v>542</v>
      </c>
      <c r="C53" s="284" t="s">
        <v>543</v>
      </c>
      <c r="D53" s="298" t="s">
        <v>544</v>
      </c>
      <c r="E53" s="289">
        <v>350000000</v>
      </c>
      <c r="F53" s="284" t="s">
        <v>543</v>
      </c>
      <c r="G53" s="298" t="s">
        <v>544</v>
      </c>
      <c r="H53" s="289">
        <v>350000000</v>
      </c>
      <c r="I53" s="284" t="s">
        <v>543</v>
      </c>
      <c r="J53" s="298" t="s">
        <v>544</v>
      </c>
      <c r="K53" s="287">
        <v>175000000</v>
      </c>
      <c r="L53" s="284" t="s">
        <v>543</v>
      </c>
      <c r="M53" s="298" t="s">
        <v>544</v>
      </c>
      <c r="N53" s="289">
        <v>175000000</v>
      </c>
      <c r="O53" s="284" t="s">
        <v>543</v>
      </c>
      <c r="P53" s="298" t="s">
        <v>544</v>
      </c>
      <c r="Q53" s="289">
        <v>174995642</v>
      </c>
    </row>
    <row r="54" spans="1:17" ht="32.450000000000003" customHeight="1">
      <c r="A54" s="290"/>
      <c r="B54" s="284" t="s">
        <v>14</v>
      </c>
      <c r="C54" s="284" t="s">
        <v>545</v>
      </c>
      <c r="D54" s="299" t="s">
        <v>546</v>
      </c>
      <c r="E54" s="288">
        <v>125000000</v>
      </c>
      <c r="F54" s="284" t="s">
        <v>545</v>
      </c>
      <c r="G54" s="299" t="s">
        <v>546</v>
      </c>
      <c r="H54" s="288">
        <v>125000000</v>
      </c>
      <c r="I54" s="284" t="s">
        <v>545</v>
      </c>
      <c r="J54" s="299" t="s">
        <v>547</v>
      </c>
      <c r="K54" s="288">
        <v>21509509</v>
      </c>
      <c r="L54" s="284" t="s">
        <v>545</v>
      </c>
      <c r="M54" s="299" t="s">
        <v>547</v>
      </c>
      <c r="N54" s="288">
        <v>21509509</v>
      </c>
      <c r="O54" s="284" t="s">
        <v>545</v>
      </c>
      <c r="P54" s="299" t="s">
        <v>547</v>
      </c>
      <c r="Q54" s="288">
        <v>25206100</v>
      </c>
    </row>
    <row r="55" spans="1:17" ht="77.099999999999994" customHeight="1">
      <c r="A55" s="290">
        <v>10</v>
      </c>
      <c r="B55" s="277" t="s">
        <v>272</v>
      </c>
      <c r="C55" s="284" t="s">
        <v>548</v>
      </c>
      <c r="D55" s="300" t="s">
        <v>549</v>
      </c>
      <c r="E55" s="285">
        <f>SUM(E56:E62)</f>
        <v>1075000000</v>
      </c>
      <c r="F55" s="284" t="s">
        <v>548</v>
      </c>
      <c r="G55" s="300" t="s">
        <v>549</v>
      </c>
      <c r="H55" s="285">
        <f>SUM(H56:H62)</f>
        <v>1075000000</v>
      </c>
      <c r="I55" s="284" t="s">
        <v>548</v>
      </c>
      <c r="J55" s="300" t="s">
        <v>549</v>
      </c>
      <c r="K55" s="285">
        <f>SUM(K56:K62)</f>
        <v>489830000</v>
      </c>
      <c r="L55" s="284" t="s">
        <v>548</v>
      </c>
      <c r="M55" s="300" t="s">
        <v>549</v>
      </c>
      <c r="N55" s="285">
        <f>SUM(N56:N62)</f>
        <v>489830000</v>
      </c>
      <c r="O55" s="284" t="s">
        <v>548</v>
      </c>
      <c r="P55" s="300" t="s">
        <v>549</v>
      </c>
      <c r="Q55" s="285">
        <f>SUM(Q56:Q62)</f>
        <v>485492590</v>
      </c>
    </row>
    <row r="56" spans="1:17" ht="39" customHeight="1">
      <c r="A56" s="290"/>
      <c r="B56" s="284" t="s">
        <v>18</v>
      </c>
      <c r="C56" s="284" t="s">
        <v>32</v>
      </c>
      <c r="D56" s="301" t="s">
        <v>550</v>
      </c>
      <c r="E56" s="288">
        <v>150000000</v>
      </c>
      <c r="F56" s="284" t="s">
        <v>32</v>
      </c>
      <c r="G56" s="301" t="s">
        <v>550</v>
      </c>
      <c r="H56" s="288">
        <v>150000000</v>
      </c>
      <c r="I56" s="284" t="s">
        <v>32</v>
      </c>
      <c r="J56" s="301" t="s">
        <v>551</v>
      </c>
      <c r="K56" s="288">
        <v>35000000</v>
      </c>
      <c r="L56" s="284" t="s">
        <v>32</v>
      </c>
      <c r="M56" s="301" t="s">
        <v>551</v>
      </c>
      <c r="N56" s="288">
        <v>35000000</v>
      </c>
      <c r="O56" s="284" t="s">
        <v>32</v>
      </c>
      <c r="P56" s="301" t="s">
        <v>551</v>
      </c>
      <c r="Q56" s="288">
        <v>32425900</v>
      </c>
    </row>
    <row r="57" spans="1:17" ht="43.5" customHeight="1">
      <c r="A57" s="290"/>
      <c r="B57" s="284" t="s">
        <v>186</v>
      </c>
      <c r="C57" s="284" t="s">
        <v>552</v>
      </c>
      <c r="D57" s="283" t="s">
        <v>553</v>
      </c>
      <c r="E57" s="288">
        <v>75000000</v>
      </c>
      <c r="F57" s="284" t="s">
        <v>552</v>
      </c>
      <c r="G57" s="283" t="s">
        <v>553</v>
      </c>
      <c r="H57" s="288">
        <v>75000000</v>
      </c>
      <c r="I57" s="284" t="s">
        <v>552</v>
      </c>
      <c r="J57" s="283" t="s">
        <v>553</v>
      </c>
      <c r="K57" s="288">
        <v>94830000</v>
      </c>
      <c r="L57" s="284" t="s">
        <v>552</v>
      </c>
      <c r="M57" s="283" t="s">
        <v>553</v>
      </c>
      <c r="N57" s="288">
        <v>94830000</v>
      </c>
      <c r="O57" s="284" t="s">
        <v>552</v>
      </c>
      <c r="P57" s="283" t="s">
        <v>553</v>
      </c>
      <c r="Q57" s="288">
        <v>94830000</v>
      </c>
    </row>
    <row r="58" spans="1:17" ht="30.95" customHeight="1">
      <c r="A58" s="290"/>
      <c r="B58" s="284" t="s">
        <v>399</v>
      </c>
      <c r="C58" s="284" t="s">
        <v>554</v>
      </c>
      <c r="D58" s="283" t="s">
        <v>555</v>
      </c>
      <c r="E58" s="288">
        <v>200000000</v>
      </c>
      <c r="F58" s="284" t="s">
        <v>554</v>
      </c>
      <c r="G58" s="283" t="s">
        <v>555</v>
      </c>
      <c r="H58" s="288">
        <v>200000000</v>
      </c>
      <c r="I58" s="284" t="s">
        <v>554</v>
      </c>
      <c r="J58" s="283" t="s">
        <v>274</v>
      </c>
      <c r="K58" s="288">
        <v>35000000</v>
      </c>
      <c r="L58" s="284" t="s">
        <v>554</v>
      </c>
      <c r="M58" s="283" t="s">
        <v>274</v>
      </c>
      <c r="N58" s="288">
        <v>35000000</v>
      </c>
      <c r="O58" s="284" t="s">
        <v>554</v>
      </c>
      <c r="P58" s="283" t="s">
        <v>274</v>
      </c>
      <c r="Q58" s="288">
        <v>34912800</v>
      </c>
    </row>
    <row r="59" spans="1:17" ht="30.95" customHeight="1">
      <c r="A59" s="290"/>
      <c r="B59" s="284" t="s">
        <v>22</v>
      </c>
      <c r="C59" s="284" t="s">
        <v>36</v>
      </c>
      <c r="D59" s="283" t="s">
        <v>556</v>
      </c>
      <c r="E59" s="288">
        <v>75000000</v>
      </c>
      <c r="F59" s="284" t="s">
        <v>36</v>
      </c>
      <c r="G59" s="283" t="s">
        <v>556</v>
      </c>
      <c r="H59" s="288">
        <v>75000000</v>
      </c>
      <c r="I59" s="284" t="s">
        <v>36</v>
      </c>
      <c r="J59" s="283" t="s">
        <v>556</v>
      </c>
      <c r="K59" s="288">
        <v>30000000</v>
      </c>
      <c r="L59" s="284" t="s">
        <v>36</v>
      </c>
      <c r="M59" s="283" t="s">
        <v>556</v>
      </c>
      <c r="N59" s="288">
        <v>30000000</v>
      </c>
      <c r="O59" s="284" t="s">
        <v>36</v>
      </c>
      <c r="P59" s="283" t="s">
        <v>556</v>
      </c>
      <c r="Q59" s="288">
        <v>29890000</v>
      </c>
    </row>
    <row r="60" spans="1:17" ht="30.95" customHeight="1">
      <c r="A60" s="290"/>
      <c r="B60" s="284" t="s">
        <v>21</v>
      </c>
      <c r="C60" s="284" t="s">
        <v>35</v>
      </c>
      <c r="D60" s="283" t="s">
        <v>544</v>
      </c>
      <c r="E60" s="288">
        <v>300000000</v>
      </c>
      <c r="F60" s="284" t="s">
        <v>35</v>
      </c>
      <c r="G60" s="283" t="s">
        <v>544</v>
      </c>
      <c r="H60" s="288">
        <v>300000000</v>
      </c>
      <c r="I60" s="284" t="s">
        <v>35</v>
      </c>
      <c r="J60" s="283" t="s">
        <v>544</v>
      </c>
      <c r="K60" s="288">
        <v>100000000</v>
      </c>
      <c r="L60" s="284" t="s">
        <v>35</v>
      </c>
      <c r="M60" s="283" t="s">
        <v>544</v>
      </c>
      <c r="N60" s="288">
        <v>100000000</v>
      </c>
      <c r="O60" s="284" t="s">
        <v>35</v>
      </c>
      <c r="P60" s="283" t="s">
        <v>544</v>
      </c>
      <c r="Q60" s="288">
        <v>99506640</v>
      </c>
    </row>
    <row r="61" spans="1:17" ht="27" customHeight="1">
      <c r="A61" s="290"/>
      <c r="B61" s="284" t="s">
        <v>20</v>
      </c>
      <c r="C61" s="284" t="s">
        <v>34</v>
      </c>
      <c r="D61" s="301" t="s">
        <v>557</v>
      </c>
      <c r="E61" s="288">
        <v>75000000</v>
      </c>
      <c r="F61" s="284" t="s">
        <v>34</v>
      </c>
      <c r="G61" s="301" t="s">
        <v>557</v>
      </c>
      <c r="H61" s="288">
        <v>75000000</v>
      </c>
      <c r="I61" s="284" t="s">
        <v>34</v>
      </c>
      <c r="J61" s="301" t="s">
        <v>547</v>
      </c>
      <c r="K61" s="288">
        <v>20000000</v>
      </c>
      <c r="L61" s="284" t="s">
        <v>34</v>
      </c>
      <c r="M61" s="301" t="s">
        <v>547</v>
      </c>
      <c r="N61" s="288">
        <v>20000000</v>
      </c>
      <c r="O61" s="284" t="s">
        <v>34</v>
      </c>
      <c r="P61" s="301" t="s">
        <v>547</v>
      </c>
      <c r="Q61" s="288">
        <v>19136500</v>
      </c>
    </row>
    <row r="62" spans="1:17" ht="36.950000000000003" customHeight="1">
      <c r="A62" s="290"/>
      <c r="B62" s="284" t="s">
        <v>16</v>
      </c>
      <c r="C62" s="284" t="s">
        <v>558</v>
      </c>
      <c r="D62" s="302" t="s">
        <v>544</v>
      </c>
      <c r="E62" s="303">
        <v>200000000</v>
      </c>
      <c r="F62" s="304" t="s">
        <v>558</v>
      </c>
      <c r="G62" s="302" t="s">
        <v>544</v>
      </c>
      <c r="H62" s="288">
        <v>200000000</v>
      </c>
      <c r="I62" s="284" t="s">
        <v>558</v>
      </c>
      <c r="J62" s="283" t="s">
        <v>544</v>
      </c>
      <c r="K62" s="288">
        <v>175000000</v>
      </c>
      <c r="L62" s="284" t="s">
        <v>273</v>
      </c>
      <c r="M62" s="301" t="s">
        <v>544</v>
      </c>
      <c r="N62" s="288">
        <v>175000000</v>
      </c>
      <c r="O62" s="284" t="s">
        <v>273</v>
      </c>
      <c r="P62" s="301" t="s">
        <v>544</v>
      </c>
      <c r="Q62" s="288">
        <v>174790750</v>
      </c>
    </row>
    <row r="63" spans="1:17" ht="54" customHeight="1">
      <c r="A63" s="290">
        <v>11</v>
      </c>
      <c r="B63" s="277" t="s">
        <v>275</v>
      </c>
      <c r="C63" s="277" t="s">
        <v>389</v>
      </c>
      <c r="D63" s="305">
        <v>1</v>
      </c>
      <c r="E63" s="285">
        <f>SUM(E64:E68)</f>
        <v>1225000000</v>
      </c>
      <c r="F63" s="277" t="s">
        <v>389</v>
      </c>
      <c r="G63" s="305">
        <v>1</v>
      </c>
      <c r="H63" s="285">
        <f>SUM(H64:H68)</f>
        <v>1225000000</v>
      </c>
      <c r="I63" s="277" t="s">
        <v>389</v>
      </c>
      <c r="J63" s="305">
        <v>1</v>
      </c>
      <c r="K63" s="285">
        <f>SUM(K64:K68)</f>
        <v>755000000</v>
      </c>
      <c r="L63" s="277" t="s">
        <v>389</v>
      </c>
      <c r="M63" s="305">
        <v>1</v>
      </c>
      <c r="N63" s="285">
        <f>SUM(N64:N68)</f>
        <v>755000000</v>
      </c>
      <c r="O63" s="277" t="s">
        <v>389</v>
      </c>
      <c r="P63" s="305">
        <v>1</v>
      </c>
      <c r="Q63" s="285">
        <f>SUM(Q64:Q68)</f>
        <v>755000000</v>
      </c>
    </row>
    <row r="64" spans="1:17" ht="33.950000000000003" customHeight="1">
      <c r="A64" s="290"/>
      <c r="B64" s="284" t="s">
        <v>194</v>
      </c>
      <c r="C64" s="284" t="s">
        <v>391</v>
      </c>
      <c r="D64" s="305">
        <v>1</v>
      </c>
      <c r="E64" s="288">
        <v>100000000</v>
      </c>
      <c r="F64" s="284" t="s">
        <v>391</v>
      </c>
      <c r="G64" s="305">
        <v>1</v>
      </c>
      <c r="H64" s="288">
        <v>100000000</v>
      </c>
      <c r="I64" s="284" t="s">
        <v>391</v>
      </c>
      <c r="J64" s="305">
        <v>1</v>
      </c>
      <c r="K64" s="288">
        <v>625000000</v>
      </c>
      <c r="L64" s="284" t="s">
        <v>391</v>
      </c>
      <c r="M64" s="305">
        <v>1</v>
      </c>
      <c r="N64" s="288">
        <v>625000000</v>
      </c>
      <c r="O64" s="284" t="s">
        <v>391</v>
      </c>
      <c r="P64" s="305">
        <v>1</v>
      </c>
      <c r="Q64" s="288">
        <v>625000000</v>
      </c>
    </row>
    <row r="65" spans="1:17" ht="54" customHeight="1">
      <c r="A65" s="290"/>
      <c r="B65" s="284" t="s">
        <v>197</v>
      </c>
      <c r="C65" s="284" t="s">
        <v>392</v>
      </c>
      <c r="D65" s="305">
        <v>1</v>
      </c>
      <c r="E65" s="288">
        <v>100000000</v>
      </c>
      <c r="F65" s="284" t="s">
        <v>392</v>
      </c>
      <c r="G65" s="305">
        <v>1</v>
      </c>
      <c r="H65" s="288">
        <v>100000000</v>
      </c>
      <c r="I65" s="284" t="s">
        <v>392</v>
      </c>
      <c r="J65" s="305">
        <v>1</v>
      </c>
      <c r="K65" s="288">
        <v>40000000</v>
      </c>
      <c r="L65" s="284" t="s">
        <v>392</v>
      </c>
      <c r="M65" s="305">
        <v>1</v>
      </c>
      <c r="N65" s="288">
        <v>40000000</v>
      </c>
      <c r="O65" s="284" t="s">
        <v>392</v>
      </c>
      <c r="P65" s="305">
        <v>1</v>
      </c>
      <c r="Q65" s="288">
        <v>40000000</v>
      </c>
    </row>
    <row r="66" spans="1:17" ht="56.1" customHeight="1">
      <c r="A66" s="290"/>
      <c r="B66" s="284" t="s">
        <v>199</v>
      </c>
      <c r="C66" s="284" t="s">
        <v>393</v>
      </c>
      <c r="D66" s="305">
        <v>1</v>
      </c>
      <c r="E66" s="288">
        <v>100000000</v>
      </c>
      <c r="F66" s="284" t="s">
        <v>393</v>
      </c>
      <c r="G66" s="305">
        <v>1</v>
      </c>
      <c r="H66" s="288">
        <v>100000000</v>
      </c>
      <c r="I66" s="284" t="s">
        <v>393</v>
      </c>
      <c r="J66" s="305">
        <v>1</v>
      </c>
      <c r="K66" s="288">
        <v>40000000</v>
      </c>
      <c r="L66" s="284" t="s">
        <v>393</v>
      </c>
      <c r="M66" s="305">
        <v>1</v>
      </c>
      <c r="N66" s="288">
        <v>40000000</v>
      </c>
      <c r="O66" s="284" t="s">
        <v>393</v>
      </c>
      <c r="P66" s="305">
        <v>1</v>
      </c>
      <c r="Q66" s="288">
        <v>40000000</v>
      </c>
    </row>
    <row r="67" spans="1:17" ht="40.5" customHeight="1">
      <c r="A67" s="290"/>
      <c r="B67" s="284" t="s">
        <v>201</v>
      </c>
      <c r="C67" s="284" t="s">
        <v>559</v>
      </c>
      <c r="D67" s="305">
        <v>1</v>
      </c>
      <c r="E67" s="288">
        <v>75000000</v>
      </c>
      <c r="F67" s="284" t="s">
        <v>559</v>
      </c>
      <c r="G67" s="305">
        <v>1</v>
      </c>
      <c r="H67" s="288">
        <v>75000000</v>
      </c>
      <c r="I67" s="284" t="s">
        <v>559</v>
      </c>
      <c r="J67" s="305">
        <v>1</v>
      </c>
      <c r="K67" s="288">
        <v>20000000</v>
      </c>
      <c r="L67" s="284" t="s">
        <v>559</v>
      </c>
      <c r="M67" s="305">
        <v>1</v>
      </c>
      <c r="N67" s="288">
        <v>20000000</v>
      </c>
      <c r="O67" s="284" t="s">
        <v>559</v>
      </c>
      <c r="P67" s="305">
        <v>1</v>
      </c>
      <c r="Q67" s="288">
        <v>20000000</v>
      </c>
    </row>
    <row r="68" spans="1:17" ht="49.5" customHeight="1">
      <c r="A68" s="290"/>
      <c r="B68" s="284" t="s">
        <v>202</v>
      </c>
      <c r="C68" s="284" t="s">
        <v>396</v>
      </c>
      <c r="D68" s="305">
        <v>1</v>
      </c>
      <c r="E68" s="288">
        <v>850000000</v>
      </c>
      <c r="F68" s="284" t="s">
        <v>396</v>
      </c>
      <c r="G68" s="305">
        <v>1</v>
      </c>
      <c r="H68" s="288">
        <v>850000000</v>
      </c>
      <c r="I68" s="284" t="s">
        <v>396</v>
      </c>
      <c r="J68" s="305">
        <v>1</v>
      </c>
      <c r="K68" s="288">
        <v>30000000</v>
      </c>
      <c r="L68" s="284" t="s">
        <v>396</v>
      </c>
      <c r="M68" s="305">
        <v>1</v>
      </c>
      <c r="N68" s="288">
        <v>30000000</v>
      </c>
      <c r="O68" s="284" t="s">
        <v>396</v>
      </c>
      <c r="P68" s="305">
        <v>1</v>
      </c>
      <c r="Q68" s="288">
        <v>30000000</v>
      </c>
    </row>
    <row r="69" spans="1:17" ht="44.1" customHeight="1">
      <c r="A69" s="290">
        <v>11</v>
      </c>
      <c r="B69" s="277" t="s">
        <v>402</v>
      </c>
      <c r="C69" s="277" t="s">
        <v>403</v>
      </c>
      <c r="D69" s="286">
        <v>1</v>
      </c>
      <c r="E69" s="285">
        <f>SUM(E70:E74)</f>
        <v>201000000</v>
      </c>
      <c r="F69" s="277" t="s">
        <v>403</v>
      </c>
      <c r="G69" s="286">
        <v>1</v>
      </c>
      <c r="H69" s="285">
        <f>SUM(H70:H74)</f>
        <v>201000000</v>
      </c>
      <c r="I69" s="277" t="s">
        <v>403</v>
      </c>
      <c r="J69" s="286">
        <v>1</v>
      </c>
      <c r="K69" s="285">
        <f>SUM(K70:K74)</f>
        <v>119990089</v>
      </c>
      <c r="L69" s="277" t="s">
        <v>403</v>
      </c>
      <c r="M69" s="286">
        <v>1</v>
      </c>
      <c r="N69" s="285">
        <f>SUM(N70:N74)</f>
        <v>119990089</v>
      </c>
      <c r="O69" s="277" t="s">
        <v>403</v>
      </c>
      <c r="P69" s="286">
        <v>1</v>
      </c>
      <c r="Q69" s="285">
        <f>SUM(Q70:Q74)</f>
        <v>119940200</v>
      </c>
    </row>
    <row r="70" spans="1:17" ht="44.45" customHeight="1">
      <c r="A70" s="290"/>
      <c r="B70" s="284" t="s">
        <v>560</v>
      </c>
      <c r="C70" s="284" t="s">
        <v>561</v>
      </c>
      <c r="D70" s="305" t="s">
        <v>562</v>
      </c>
      <c r="E70" s="288">
        <v>21000000</v>
      </c>
      <c r="F70" s="284" t="s">
        <v>561</v>
      </c>
      <c r="G70" s="305" t="s">
        <v>562</v>
      </c>
      <c r="H70" s="288">
        <v>21000000</v>
      </c>
      <c r="I70" s="284" t="s">
        <v>561</v>
      </c>
      <c r="J70" s="305" t="s">
        <v>562</v>
      </c>
      <c r="K70" s="288">
        <v>19990089</v>
      </c>
      <c r="L70" s="284" t="s">
        <v>561</v>
      </c>
      <c r="M70" s="305" t="s">
        <v>562</v>
      </c>
      <c r="N70" s="288">
        <v>19990089</v>
      </c>
      <c r="O70" s="284" t="s">
        <v>561</v>
      </c>
      <c r="P70" s="305" t="s">
        <v>278</v>
      </c>
      <c r="Q70" s="288">
        <v>19972800</v>
      </c>
    </row>
    <row r="71" spans="1:17" ht="45" customHeight="1">
      <c r="A71" s="290"/>
      <c r="B71" s="284" t="s">
        <v>279</v>
      </c>
      <c r="C71" s="284" t="s">
        <v>563</v>
      </c>
      <c r="D71" s="305" t="s">
        <v>544</v>
      </c>
      <c r="E71" s="288">
        <v>75000000</v>
      </c>
      <c r="F71" s="284" t="s">
        <v>563</v>
      </c>
      <c r="G71" s="305" t="s">
        <v>544</v>
      </c>
      <c r="H71" s="288">
        <v>75000000</v>
      </c>
      <c r="I71" s="284" t="s">
        <v>563</v>
      </c>
      <c r="J71" s="305" t="s">
        <v>281</v>
      </c>
      <c r="K71" s="288">
        <v>65000000</v>
      </c>
      <c r="L71" s="284" t="s">
        <v>563</v>
      </c>
      <c r="M71" s="305" t="s">
        <v>281</v>
      </c>
      <c r="N71" s="288">
        <v>65000000</v>
      </c>
      <c r="O71" s="284" t="s">
        <v>563</v>
      </c>
      <c r="P71" s="305" t="s">
        <v>281</v>
      </c>
      <c r="Q71" s="288">
        <v>64997400</v>
      </c>
    </row>
    <row r="72" spans="1:17" ht="51.6" customHeight="1">
      <c r="A72" s="290"/>
      <c r="B72" s="284" t="s">
        <v>564</v>
      </c>
      <c r="C72" s="284" t="s">
        <v>565</v>
      </c>
      <c r="D72" s="305" t="s">
        <v>249</v>
      </c>
      <c r="E72" s="288">
        <v>20000000</v>
      </c>
      <c r="F72" s="284" t="s">
        <v>565</v>
      </c>
      <c r="G72" s="305" t="s">
        <v>249</v>
      </c>
      <c r="H72" s="288">
        <v>20000000</v>
      </c>
      <c r="I72" s="284"/>
      <c r="J72" s="305"/>
      <c r="K72" s="288">
        <v>0</v>
      </c>
      <c r="L72" s="284"/>
      <c r="M72" s="305"/>
      <c r="N72" s="288">
        <v>0</v>
      </c>
      <c r="O72" s="284"/>
      <c r="P72" s="305"/>
      <c r="Q72" s="288">
        <v>0</v>
      </c>
    </row>
    <row r="73" spans="1:17" ht="43.5" customHeight="1">
      <c r="A73" s="290"/>
      <c r="B73" s="284" t="s">
        <v>566</v>
      </c>
      <c r="C73" s="284" t="s">
        <v>567</v>
      </c>
      <c r="D73" s="305" t="s">
        <v>568</v>
      </c>
      <c r="E73" s="288">
        <v>10000000</v>
      </c>
      <c r="F73" s="284" t="s">
        <v>567</v>
      </c>
      <c r="G73" s="305" t="s">
        <v>568</v>
      </c>
      <c r="H73" s="288">
        <v>10000000</v>
      </c>
      <c r="I73" s="284"/>
      <c r="J73" s="305"/>
      <c r="K73" s="288">
        <v>0</v>
      </c>
      <c r="L73" s="284"/>
      <c r="M73" s="305"/>
      <c r="N73" s="288">
        <v>0</v>
      </c>
      <c r="O73" s="284"/>
      <c r="P73" s="305"/>
      <c r="Q73" s="288">
        <v>0</v>
      </c>
    </row>
    <row r="74" spans="1:17" ht="66" customHeight="1">
      <c r="A74" s="290"/>
      <c r="B74" s="284" t="s">
        <v>187</v>
      </c>
      <c r="C74" s="284" t="s">
        <v>569</v>
      </c>
      <c r="D74" s="299" t="s">
        <v>244</v>
      </c>
      <c r="E74" s="285">
        <v>75000000</v>
      </c>
      <c r="F74" s="284" t="s">
        <v>569</v>
      </c>
      <c r="G74" s="299" t="s">
        <v>244</v>
      </c>
      <c r="H74" s="285">
        <v>75000000</v>
      </c>
      <c r="I74" s="284" t="s">
        <v>569</v>
      </c>
      <c r="J74" s="299" t="s">
        <v>244</v>
      </c>
      <c r="K74" s="285">
        <v>35000000</v>
      </c>
      <c r="L74" s="284" t="s">
        <v>569</v>
      </c>
      <c r="M74" s="299" t="s">
        <v>244</v>
      </c>
      <c r="N74" s="285">
        <v>35000000</v>
      </c>
      <c r="O74" s="284" t="s">
        <v>569</v>
      </c>
      <c r="P74" s="299" t="s">
        <v>244</v>
      </c>
      <c r="Q74" s="285">
        <v>34970000</v>
      </c>
    </row>
    <row r="75" spans="1:17" ht="30" customHeight="1">
      <c r="A75" s="290"/>
      <c r="B75" s="276" t="s">
        <v>570</v>
      </c>
      <c r="C75" s="306">
        <v>2</v>
      </c>
      <c r="D75" s="306" t="s">
        <v>59</v>
      </c>
      <c r="E75" s="307"/>
      <c r="F75" s="308">
        <v>2</v>
      </c>
      <c r="G75" s="308" t="s">
        <v>59</v>
      </c>
      <c r="H75" s="309"/>
      <c r="I75" s="310">
        <v>2</v>
      </c>
      <c r="J75" s="310" t="s">
        <v>59</v>
      </c>
      <c r="K75" s="311"/>
      <c r="L75" s="312">
        <v>2</v>
      </c>
      <c r="M75" s="312" t="s">
        <v>59</v>
      </c>
      <c r="N75" s="313"/>
      <c r="O75" s="314">
        <v>2</v>
      </c>
      <c r="P75" s="314" t="s">
        <v>59</v>
      </c>
      <c r="Q75" s="315"/>
    </row>
    <row r="76" spans="1:17" ht="30" customHeight="1">
      <c r="A76" s="290"/>
      <c r="B76" s="276" t="s">
        <v>571</v>
      </c>
      <c r="C76" s="306">
        <v>12</v>
      </c>
      <c r="D76" s="306" t="s">
        <v>60</v>
      </c>
      <c r="E76" s="307"/>
      <c r="F76" s="308">
        <v>12</v>
      </c>
      <c r="G76" s="308" t="s">
        <v>60</v>
      </c>
      <c r="H76" s="309"/>
      <c r="I76" s="310">
        <v>12</v>
      </c>
      <c r="J76" s="310" t="s">
        <v>60</v>
      </c>
      <c r="K76" s="311"/>
      <c r="L76" s="312">
        <v>12</v>
      </c>
      <c r="M76" s="312" t="s">
        <v>60</v>
      </c>
      <c r="N76" s="313"/>
      <c r="O76" s="314">
        <v>12</v>
      </c>
      <c r="P76" s="314" t="s">
        <v>60</v>
      </c>
      <c r="Q76" s="315"/>
    </row>
    <row r="77" spans="1:17" ht="30" customHeight="1">
      <c r="A77" s="290"/>
      <c r="B77" s="276" t="s">
        <v>572</v>
      </c>
      <c r="C77" s="306">
        <v>51</v>
      </c>
      <c r="D77" s="306" t="s">
        <v>61</v>
      </c>
      <c r="E77" s="307"/>
      <c r="F77" s="308">
        <v>51</v>
      </c>
      <c r="G77" s="308" t="s">
        <v>61</v>
      </c>
      <c r="H77" s="309"/>
      <c r="I77" s="310">
        <v>42</v>
      </c>
      <c r="J77" s="310" t="s">
        <v>61</v>
      </c>
      <c r="K77" s="311"/>
      <c r="L77" s="312">
        <v>42</v>
      </c>
      <c r="M77" s="312" t="s">
        <v>61</v>
      </c>
      <c r="N77" s="313"/>
      <c r="O77" s="314">
        <v>41</v>
      </c>
      <c r="P77" s="314" t="s">
        <v>61</v>
      </c>
      <c r="Q77" s="315"/>
    </row>
    <row r="78" spans="1:17">
      <c r="A78" s="256"/>
      <c r="B78" s="257" t="s">
        <v>573</v>
      </c>
      <c r="C78" s="257"/>
      <c r="D78" s="316"/>
      <c r="E78" s="317"/>
      <c r="F78" s="318"/>
      <c r="G78" s="318"/>
      <c r="H78" s="318"/>
      <c r="I78" s="318"/>
      <c r="J78" s="318"/>
      <c r="K78" s="318"/>
      <c r="L78" s="318"/>
      <c r="M78" s="318"/>
      <c r="N78" s="318"/>
      <c r="O78" s="318"/>
      <c r="P78" s="318"/>
      <c r="Q78" s="319"/>
    </row>
    <row r="79" spans="1:17">
      <c r="A79" s="256"/>
      <c r="B79" s="320" t="s">
        <v>574</v>
      </c>
      <c r="C79" s="257"/>
      <c r="D79" s="316"/>
      <c r="E79" s="317"/>
      <c r="F79" s="318"/>
      <c r="G79" s="318"/>
      <c r="H79" s="318"/>
      <c r="I79" s="318"/>
      <c r="J79" s="318"/>
      <c r="K79" s="318"/>
      <c r="L79" s="318"/>
      <c r="M79" s="318"/>
      <c r="N79" s="318"/>
      <c r="O79" s="318"/>
      <c r="P79" s="318"/>
      <c r="Q79" s="321"/>
    </row>
    <row r="80" spans="1:17">
      <c r="A80" s="256"/>
      <c r="B80" s="320" t="s">
        <v>575</v>
      </c>
      <c r="C80" s="257"/>
      <c r="D80" s="316"/>
      <c r="E80" s="317"/>
      <c r="F80" s="318"/>
      <c r="G80" s="318"/>
      <c r="H80" s="318"/>
      <c r="I80" s="318"/>
      <c r="J80" s="318"/>
      <c r="K80" s="318"/>
      <c r="L80" s="318"/>
      <c r="M80" s="318"/>
      <c r="N80" s="318"/>
      <c r="O80" s="318"/>
      <c r="P80" s="318"/>
      <c r="Q80" s="321"/>
    </row>
  </sheetData>
  <mergeCells count="10">
    <mergeCell ref="A1:Q1"/>
    <mergeCell ref="A2:Q2"/>
    <mergeCell ref="A3:Q3"/>
    <mergeCell ref="A6:A7"/>
    <mergeCell ref="B6:B7"/>
    <mergeCell ref="C6:E6"/>
    <mergeCell ref="F6:H6"/>
    <mergeCell ref="I6:K6"/>
    <mergeCell ref="L6:N6"/>
    <mergeCell ref="O6:Q6"/>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23"/>
  <sheetViews>
    <sheetView topLeftCell="C11" zoomScale="80" zoomScaleNormal="80" workbookViewId="0">
      <selection activeCell="I12" sqref="I12"/>
    </sheetView>
  </sheetViews>
  <sheetFormatPr defaultRowHeight="15"/>
  <cols>
    <col min="1" max="1" width="16.28515625" customWidth="1"/>
    <col min="2" max="2" width="47.5703125" customWidth="1"/>
    <col min="3" max="3" width="32" customWidth="1"/>
    <col min="4" max="4" width="22.42578125" customWidth="1"/>
    <col min="5" max="5" width="27.85546875" customWidth="1"/>
    <col min="6" max="6" width="17.140625" customWidth="1"/>
    <col min="7" max="7" width="42.140625" customWidth="1"/>
    <col min="8" max="14" width="29.140625" customWidth="1"/>
  </cols>
  <sheetData>
    <row r="1" spans="1:10" ht="15.75">
      <c r="A1" s="215"/>
      <c r="B1" s="215"/>
      <c r="C1" s="215"/>
      <c r="D1" s="215"/>
      <c r="E1" s="215"/>
      <c r="F1" s="215"/>
      <c r="G1" s="215"/>
    </row>
    <row r="2" spans="1:10" s="217" customFormat="1" ht="19.5">
      <c r="A2" s="802" t="s">
        <v>452</v>
      </c>
      <c r="B2" s="802"/>
      <c r="C2" s="802"/>
      <c r="D2" s="802"/>
      <c r="E2" s="802"/>
      <c r="F2" s="802"/>
      <c r="G2" s="802"/>
      <c r="H2" s="216"/>
      <c r="I2" s="216"/>
      <c r="J2" s="216"/>
    </row>
    <row r="3" spans="1:10" s="217" customFormat="1" ht="19.5">
      <c r="A3" s="802" t="s">
        <v>724</v>
      </c>
      <c r="B3" s="802"/>
      <c r="C3" s="802"/>
      <c r="D3" s="802"/>
      <c r="E3" s="802"/>
      <c r="F3" s="802"/>
      <c r="G3" s="802"/>
      <c r="H3" s="216"/>
      <c r="I3" s="216"/>
      <c r="J3" s="216"/>
    </row>
    <row r="4" spans="1:10" ht="16.5" thickBot="1">
      <c r="A4" s="215"/>
      <c r="B4" s="215"/>
      <c r="C4" s="215"/>
      <c r="D4" s="215"/>
      <c r="E4" s="215"/>
      <c r="F4" s="215"/>
      <c r="G4" s="215"/>
    </row>
    <row r="5" spans="1:10" ht="22.5" customHeight="1" thickTop="1">
      <c r="A5" s="803"/>
      <c r="B5" s="806" t="s">
        <v>453</v>
      </c>
      <c r="C5" s="806" t="s">
        <v>454</v>
      </c>
      <c r="D5" s="809" t="s">
        <v>455</v>
      </c>
      <c r="E5" s="810"/>
      <c r="F5" s="811" t="s">
        <v>456</v>
      </c>
      <c r="G5" s="811" t="s">
        <v>242</v>
      </c>
    </row>
    <row r="6" spans="1:10" ht="22.5" customHeight="1">
      <c r="A6" s="804"/>
      <c r="B6" s="807"/>
      <c r="C6" s="807"/>
      <c r="D6" s="814" t="s">
        <v>241</v>
      </c>
      <c r="E6" s="815"/>
      <c r="F6" s="812"/>
      <c r="G6" s="812"/>
    </row>
    <row r="7" spans="1:10" ht="22.5" customHeight="1" thickBot="1">
      <c r="A7" s="805"/>
      <c r="B7" s="808"/>
      <c r="C7" s="808"/>
      <c r="D7" s="218" t="s">
        <v>8</v>
      </c>
      <c r="E7" s="219" t="s">
        <v>335</v>
      </c>
      <c r="F7" s="813"/>
      <c r="G7" s="813"/>
    </row>
    <row r="8" spans="1:10" ht="16.5" thickTop="1" thickBot="1">
      <c r="A8" s="220">
        <v>1</v>
      </c>
      <c r="B8" s="221">
        <v>2</v>
      </c>
      <c r="C8" s="221">
        <v>3</v>
      </c>
      <c r="D8" s="222">
        <v>4</v>
      </c>
      <c r="E8" s="221">
        <v>5</v>
      </c>
      <c r="F8" s="223">
        <v>6</v>
      </c>
      <c r="G8" s="223">
        <v>6</v>
      </c>
    </row>
    <row r="9" spans="1:10" s="226" customFormat="1" ht="20.25" thickTop="1">
      <c r="A9" s="224" t="s">
        <v>457</v>
      </c>
      <c r="B9" s="799" t="s">
        <v>458</v>
      </c>
      <c r="C9" s="800"/>
      <c r="D9" s="800"/>
      <c r="E9" s="800"/>
      <c r="F9" s="800"/>
      <c r="G9" s="801"/>
      <c r="H9" s="225"/>
      <c r="I9" s="225"/>
      <c r="J9" s="225"/>
    </row>
    <row r="10" spans="1:10" ht="47.25">
      <c r="A10" s="227" t="s">
        <v>459</v>
      </c>
      <c r="B10" s="228" t="s">
        <v>460</v>
      </c>
      <c r="C10" s="229" t="s">
        <v>461</v>
      </c>
      <c r="D10" s="230"/>
      <c r="E10" s="231"/>
      <c r="F10" s="232"/>
      <c r="G10" s="233"/>
      <c r="H10" s="234"/>
      <c r="I10" s="234"/>
      <c r="J10" s="234"/>
    </row>
    <row r="11" spans="1:10" ht="31.5">
      <c r="A11" s="235" t="s">
        <v>462</v>
      </c>
      <c r="B11" s="236" t="s">
        <v>463</v>
      </c>
      <c r="C11" s="237" t="s">
        <v>464</v>
      </c>
      <c r="D11" s="237">
        <v>202</v>
      </c>
      <c r="E11" s="238">
        <v>176.14</v>
      </c>
      <c r="F11" s="239" t="s">
        <v>0</v>
      </c>
      <c r="G11" s="239"/>
      <c r="H11" s="234"/>
      <c r="I11" s="234"/>
      <c r="J11" s="234"/>
    </row>
    <row r="12" spans="1:10" ht="157.5">
      <c r="A12" s="235"/>
      <c r="B12" s="236" t="s">
        <v>175</v>
      </c>
      <c r="C12" s="237" t="s">
        <v>268</v>
      </c>
      <c r="D12" s="240">
        <v>1</v>
      </c>
      <c r="E12" s="238">
        <v>66.53</v>
      </c>
      <c r="F12" s="239" t="s">
        <v>0</v>
      </c>
      <c r="G12" s="241" t="s">
        <v>726</v>
      </c>
      <c r="H12" s="234"/>
      <c r="I12" s="234"/>
      <c r="J12" s="234"/>
    </row>
    <row r="13" spans="1:10" ht="252">
      <c r="A13" s="242"/>
      <c r="B13" s="243"/>
      <c r="C13" s="237" t="s">
        <v>465</v>
      </c>
      <c r="D13" s="240">
        <v>1</v>
      </c>
      <c r="E13" s="240">
        <v>1</v>
      </c>
      <c r="F13" s="239" t="s">
        <v>0</v>
      </c>
      <c r="G13" s="244" t="s">
        <v>467</v>
      </c>
      <c r="H13" s="234"/>
      <c r="I13" s="234"/>
      <c r="J13" s="234"/>
    </row>
    <row r="14" spans="1:10" ht="79.5" thickBot="1">
      <c r="A14" s="245"/>
      <c r="B14" s="246"/>
      <c r="C14" s="247" t="s">
        <v>466</v>
      </c>
      <c r="D14" s="248">
        <v>1</v>
      </c>
      <c r="E14" s="248">
        <v>1</v>
      </c>
      <c r="F14" s="249" t="s">
        <v>0</v>
      </c>
      <c r="G14" s="250" t="s">
        <v>725</v>
      </c>
      <c r="H14" s="234"/>
      <c r="I14" s="234"/>
      <c r="J14" s="234"/>
    </row>
    <row r="15" spans="1:10" ht="16.5" thickTop="1">
      <c r="A15" s="215"/>
      <c r="B15" s="215"/>
      <c r="C15" s="215"/>
      <c r="D15" s="215"/>
      <c r="E15" s="215"/>
      <c r="F15" s="215"/>
      <c r="G15" s="215"/>
    </row>
    <row r="16" spans="1:10" ht="15.75">
      <c r="A16" s="215"/>
      <c r="B16" s="215"/>
      <c r="C16" s="215"/>
      <c r="D16" s="215"/>
      <c r="E16" s="33" t="s">
        <v>720</v>
      </c>
      <c r="F16" s="33"/>
      <c r="G16" s="215"/>
    </row>
    <row r="17" spans="1:7" ht="15.75">
      <c r="A17" s="215"/>
      <c r="B17" s="215"/>
      <c r="C17" s="215"/>
      <c r="D17" s="251" t="s">
        <v>231</v>
      </c>
      <c r="E17" s="33" t="s">
        <v>24</v>
      </c>
      <c r="F17" s="33"/>
      <c r="G17" s="215"/>
    </row>
    <row r="18" spans="1:7" ht="15.75">
      <c r="A18" s="215"/>
      <c r="B18" s="215"/>
      <c r="C18" s="215"/>
      <c r="D18" s="215"/>
      <c r="E18" s="33"/>
      <c r="F18" s="33"/>
      <c r="G18" s="215"/>
    </row>
    <row r="19" spans="1:7" ht="15.75">
      <c r="A19" s="215"/>
      <c r="B19" s="215"/>
      <c r="C19" s="215"/>
      <c r="D19" s="215"/>
      <c r="E19" s="33"/>
      <c r="F19" s="33"/>
      <c r="G19" s="215"/>
    </row>
    <row r="20" spans="1:7" ht="15.75">
      <c r="A20" s="215"/>
      <c r="B20" s="215"/>
      <c r="C20" s="215"/>
      <c r="D20" s="215"/>
      <c r="E20" s="33"/>
      <c r="F20" s="33"/>
      <c r="G20" s="215"/>
    </row>
    <row r="21" spans="1:7" ht="15.75">
      <c r="A21" s="215"/>
      <c r="B21" s="215"/>
      <c r="C21" s="215"/>
      <c r="D21" s="215"/>
      <c r="E21" s="252" t="s">
        <v>25</v>
      </c>
      <c r="F21" s="252"/>
      <c r="G21" s="215"/>
    </row>
    <row r="22" spans="1:7" ht="15.75">
      <c r="A22" s="215"/>
      <c r="B22" s="215"/>
      <c r="C22" s="215"/>
      <c r="D22" s="215"/>
      <c r="E22" s="33" t="s">
        <v>26</v>
      </c>
      <c r="F22" s="33"/>
      <c r="G22" s="215"/>
    </row>
    <row r="23" spans="1:7" ht="15.75">
      <c r="A23" s="215"/>
      <c r="B23" s="215"/>
      <c r="C23" s="215"/>
      <c r="D23" s="215"/>
      <c r="E23" s="33" t="s">
        <v>46</v>
      </c>
      <c r="F23" s="33"/>
      <c r="G23" s="215"/>
    </row>
  </sheetData>
  <mergeCells count="10">
    <mergeCell ref="B9:G9"/>
    <mergeCell ref="A2:G2"/>
    <mergeCell ref="A3:G3"/>
    <mergeCell ref="A5:A7"/>
    <mergeCell ref="B5:B7"/>
    <mergeCell ref="C5:C7"/>
    <mergeCell ref="D5:E5"/>
    <mergeCell ref="F5:F7"/>
    <mergeCell ref="G5:G7"/>
    <mergeCell ref="D6:E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80"/>
  <sheetViews>
    <sheetView workbookViewId="0">
      <pane ySplit="4" topLeftCell="A8" activePane="bottomLeft" state="frozen"/>
      <selection pane="bottomLeft" activeCell="H8" sqref="H8"/>
    </sheetView>
  </sheetViews>
  <sheetFormatPr defaultRowHeight="15"/>
  <cols>
    <col min="1" max="1" width="6.42578125" style="367" customWidth="1"/>
    <col min="2" max="10" width="8.7109375" style="367"/>
    <col min="12" max="12" width="12.7109375" customWidth="1"/>
    <col min="13" max="13" width="13" customWidth="1"/>
    <col min="15" max="15" width="26.7109375" customWidth="1"/>
  </cols>
  <sheetData>
    <row r="1" spans="1:15">
      <c r="B1" s="816" t="s">
        <v>576</v>
      </c>
      <c r="C1" s="816"/>
      <c r="D1" s="816"/>
      <c r="E1" s="816"/>
      <c r="F1" s="816"/>
      <c r="G1" s="816"/>
      <c r="H1" s="816"/>
      <c r="I1" s="816"/>
      <c r="J1" s="816"/>
      <c r="K1" s="816"/>
      <c r="L1" s="816"/>
      <c r="M1" s="816"/>
      <c r="N1" s="816"/>
      <c r="O1" s="816"/>
    </row>
    <row r="2" spans="1:15">
      <c r="B2" s="817" t="s">
        <v>48</v>
      </c>
      <c r="C2" s="817"/>
      <c r="D2" s="817"/>
      <c r="E2" s="817"/>
      <c r="F2" s="817"/>
      <c r="G2" s="817"/>
      <c r="H2" s="817"/>
      <c r="I2" s="817"/>
      <c r="J2" s="817"/>
      <c r="K2" s="817"/>
      <c r="L2" s="817"/>
      <c r="M2" s="817"/>
      <c r="N2" s="817"/>
      <c r="O2" s="817"/>
    </row>
    <row r="3" spans="1:15" ht="45.75" customHeight="1">
      <c r="A3" s="351" t="s">
        <v>577</v>
      </c>
      <c r="B3" s="351" t="s">
        <v>578</v>
      </c>
      <c r="C3" s="351" t="s">
        <v>579</v>
      </c>
      <c r="D3" s="351" t="s">
        <v>580</v>
      </c>
      <c r="E3" s="818" t="s">
        <v>581</v>
      </c>
      <c r="F3" s="818"/>
      <c r="G3" s="818"/>
      <c r="H3" s="351" t="s">
        <v>477</v>
      </c>
      <c r="I3" s="351" t="s">
        <v>478</v>
      </c>
      <c r="J3" s="351" t="s">
        <v>219</v>
      </c>
      <c r="K3" s="351" t="s">
        <v>582</v>
      </c>
      <c r="L3" s="351" t="s">
        <v>583</v>
      </c>
      <c r="M3" s="351" t="s">
        <v>584</v>
      </c>
      <c r="N3" s="351" t="s">
        <v>585</v>
      </c>
      <c r="O3" s="351" t="s">
        <v>586</v>
      </c>
    </row>
    <row r="4" spans="1:15" ht="16.5" customHeight="1">
      <c r="A4" s="351">
        <v>1</v>
      </c>
      <c r="B4" s="351">
        <v>2</v>
      </c>
      <c r="C4" s="351">
        <v>3</v>
      </c>
      <c r="D4" s="351">
        <v>4</v>
      </c>
      <c r="E4" s="351">
        <v>5</v>
      </c>
      <c r="F4" s="351">
        <v>6</v>
      </c>
      <c r="G4" s="351">
        <v>7</v>
      </c>
      <c r="H4" s="351">
        <v>8</v>
      </c>
      <c r="I4" s="351">
        <v>9</v>
      </c>
      <c r="J4" s="351">
        <v>10</v>
      </c>
      <c r="K4" s="351">
        <v>11</v>
      </c>
      <c r="L4" s="351">
        <v>12</v>
      </c>
      <c r="M4" s="351">
        <v>13</v>
      </c>
      <c r="N4" s="351">
        <v>14</v>
      </c>
      <c r="O4" s="351">
        <v>15</v>
      </c>
    </row>
    <row r="5" spans="1:15" ht="146.44999999999999" customHeight="1">
      <c r="A5" s="323">
        <v>5</v>
      </c>
      <c r="B5" s="324" t="s">
        <v>587</v>
      </c>
      <c r="C5" s="324" t="s">
        <v>588</v>
      </c>
      <c r="D5" s="324"/>
      <c r="E5" s="324" t="s">
        <v>175</v>
      </c>
      <c r="F5" s="323"/>
      <c r="G5" s="323"/>
      <c r="H5" s="324" t="s">
        <v>268</v>
      </c>
      <c r="I5" s="325">
        <v>1</v>
      </c>
      <c r="J5" s="326">
        <v>0.6653</v>
      </c>
      <c r="K5" s="327">
        <f>J5/I5</f>
        <v>0.6653</v>
      </c>
      <c r="L5" s="328" t="s">
        <v>739</v>
      </c>
      <c r="M5" s="328" t="s">
        <v>589</v>
      </c>
      <c r="N5" s="328"/>
      <c r="O5" s="329" t="s">
        <v>738</v>
      </c>
    </row>
    <row r="6" spans="1:15" ht="123.6" customHeight="1">
      <c r="A6" s="324"/>
      <c r="B6" s="324"/>
      <c r="C6" s="324"/>
      <c r="D6" s="324"/>
      <c r="E6" s="324"/>
      <c r="F6" s="323"/>
      <c r="G6" s="323"/>
      <c r="H6" s="324" t="s">
        <v>465</v>
      </c>
      <c r="I6" s="325">
        <v>1</v>
      </c>
      <c r="J6" s="325">
        <v>1</v>
      </c>
      <c r="K6" s="330">
        <f t="shared" ref="K6:K63" si="0">J6/I6</f>
        <v>1</v>
      </c>
      <c r="L6" s="328"/>
      <c r="M6" s="328"/>
      <c r="N6" s="328"/>
      <c r="O6" s="329" t="s">
        <v>687</v>
      </c>
    </row>
    <row r="7" spans="1:15" ht="157.5">
      <c r="A7" s="324"/>
      <c r="B7" s="324"/>
      <c r="C7" s="324"/>
      <c r="D7" s="324"/>
      <c r="E7" s="324"/>
      <c r="F7" s="323"/>
      <c r="G7" s="323"/>
      <c r="H7" s="324" t="s">
        <v>466</v>
      </c>
      <c r="I7" s="325">
        <v>1</v>
      </c>
      <c r="J7" s="325">
        <v>1</v>
      </c>
      <c r="K7" s="330">
        <f t="shared" si="0"/>
        <v>1</v>
      </c>
      <c r="L7" s="328"/>
      <c r="M7" s="328"/>
      <c r="N7" s="328"/>
      <c r="O7" s="357" t="s">
        <v>740</v>
      </c>
    </row>
    <row r="8" spans="1:15" s="335" customFormat="1" ht="112.5">
      <c r="A8" s="331"/>
      <c r="B8" s="331"/>
      <c r="C8" s="331"/>
      <c r="D8" s="331"/>
      <c r="E8" s="331"/>
      <c r="F8" s="352" t="s">
        <v>269</v>
      </c>
      <c r="G8" s="352"/>
      <c r="H8" s="353" t="s">
        <v>388</v>
      </c>
      <c r="I8" s="358">
        <v>8.0000000000000004E-4</v>
      </c>
      <c r="J8" s="358">
        <v>8.0000000000000004E-4</v>
      </c>
      <c r="K8" s="355">
        <f t="shared" si="0"/>
        <v>1</v>
      </c>
      <c r="L8" s="356"/>
      <c r="M8" s="356"/>
      <c r="N8" s="356"/>
      <c r="O8" s="359"/>
    </row>
    <row r="9" spans="1:15" s="335" customFormat="1" ht="112.5">
      <c r="A9" s="331"/>
      <c r="B9" s="331"/>
      <c r="C9" s="331"/>
      <c r="D9" s="331"/>
      <c r="E9" s="331"/>
      <c r="F9" s="352"/>
      <c r="G9" s="352" t="s">
        <v>590</v>
      </c>
      <c r="H9" s="353" t="s">
        <v>543</v>
      </c>
      <c r="I9" s="354">
        <v>1</v>
      </c>
      <c r="J9" s="354">
        <v>0</v>
      </c>
      <c r="K9" s="355">
        <f>J9/I9</f>
        <v>0</v>
      </c>
      <c r="L9" s="356" t="s">
        <v>741</v>
      </c>
      <c r="M9" s="356"/>
      <c r="N9" s="356"/>
      <c r="O9" s="357" t="s">
        <v>689</v>
      </c>
    </row>
    <row r="10" spans="1:15" s="335" customFormat="1" ht="159.6" customHeight="1">
      <c r="A10" s="331"/>
      <c r="B10" s="331"/>
      <c r="C10" s="331"/>
      <c r="D10" s="331"/>
      <c r="E10" s="331"/>
      <c r="F10" s="332"/>
      <c r="G10" s="352" t="s">
        <v>14</v>
      </c>
      <c r="H10" s="353" t="s">
        <v>31</v>
      </c>
      <c r="I10" s="354">
        <v>250</v>
      </c>
      <c r="J10" s="354">
        <v>250</v>
      </c>
      <c r="K10" s="355">
        <f t="shared" si="0"/>
        <v>1</v>
      </c>
      <c r="L10" s="356" t="s">
        <v>742</v>
      </c>
      <c r="M10" s="356" t="s">
        <v>743</v>
      </c>
      <c r="N10" s="356"/>
      <c r="O10" s="357" t="s">
        <v>688</v>
      </c>
    </row>
    <row r="11" spans="1:15" s="335" customFormat="1" ht="180">
      <c r="A11" s="331"/>
      <c r="B11" s="331"/>
      <c r="C11" s="331"/>
      <c r="D11" s="353" t="s">
        <v>591</v>
      </c>
      <c r="E11" s="353"/>
      <c r="F11" s="352" t="s">
        <v>272</v>
      </c>
      <c r="G11" s="352"/>
      <c r="H11" s="353" t="s">
        <v>592</v>
      </c>
      <c r="I11" s="362">
        <v>0.02</v>
      </c>
      <c r="J11" s="358">
        <v>0</v>
      </c>
      <c r="K11" s="364">
        <f t="shared" si="0"/>
        <v>0</v>
      </c>
      <c r="L11" s="356" t="s">
        <v>712</v>
      </c>
      <c r="M11" s="333"/>
      <c r="N11" s="333"/>
      <c r="O11" s="819"/>
    </row>
    <row r="12" spans="1:15" s="335" customFormat="1" ht="81" customHeight="1">
      <c r="A12" s="331"/>
      <c r="B12" s="331"/>
      <c r="C12" s="331"/>
      <c r="D12" s="331"/>
      <c r="E12" s="331"/>
      <c r="F12" s="332"/>
      <c r="G12" s="332"/>
      <c r="H12" s="353" t="s">
        <v>593</v>
      </c>
      <c r="I12" s="362">
        <v>1</v>
      </c>
      <c r="J12" s="362">
        <v>1</v>
      </c>
      <c r="K12" s="355">
        <f t="shared" si="0"/>
        <v>1</v>
      </c>
      <c r="L12" s="333"/>
      <c r="M12" s="333"/>
      <c r="N12" s="333"/>
      <c r="O12" s="820"/>
    </row>
    <row r="13" spans="1:15" s="335" customFormat="1" ht="87.6" customHeight="1">
      <c r="A13" s="331"/>
      <c r="B13" s="331"/>
      <c r="C13" s="331"/>
      <c r="D13" s="331"/>
      <c r="E13" s="331"/>
      <c r="F13" s="332"/>
      <c r="G13" s="352" t="s">
        <v>594</v>
      </c>
      <c r="H13" s="353" t="s">
        <v>449</v>
      </c>
      <c r="I13" s="354">
        <v>1</v>
      </c>
      <c r="J13" s="354">
        <v>0</v>
      </c>
      <c r="K13" s="355">
        <f t="shared" si="0"/>
        <v>0</v>
      </c>
      <c r="L13" s="356"/>
      <c r="M13" s="356"/>
      <c r="N13" s="356"/>
      <c r="O13" s="360" t="s">
        <v>690</v>
      </c>
    </row>
    <row r="14" spans="1:15" s="337" customFormat="1" ht="78.75">
      <c r="A14" s="331"/>
      <c r="B14" s="331"/>
      <c r="C14" s="331"/>
      <c r="D14" s="331"/>
      <c r="E14" s="331"/>
      <c r="F14" s="332"/>
      <c r="G14" s="352" t="s">
        <v>18</v>
      </c>
      <c r="H14" s="353" t="s">
        <v>398</v>
      </c>
      <c r="I14" s="354">
        <v>50</v>
      </c>
      <c r="J14" s="354">
        <v>0</v>
      </c>
      <c r="K14" s="361">
        <f t="shared" si="0"/>
        <v>0</v>
      </c>
      <c r="L14" s="353"/>
      <c r="M14" s="353"/>
      <c r="N14" s="353"/>
      <c r="O14" s="353" t="s">
        <v>691</v>
      </c>
    </row>
    <row r="15" spans="1:15" s="335" customFormat="1" ht="202.5">
      <c r="A15" s="331"/>
      <c r="B15" s="331"/>
      <c r="C15" s="331"/>
      <c r="D15" s="331"/>
      <c r="E15" s="331"/>
      <c r="F15" s="332"/>
      <c r="G15" s="352" t="s">
        <v>19</v>
      </c>
      <c r="H15" s="353" t="s">
        <v>33</v>
      </c>
      <c r="I15" s="354">
        <v>21</v>
      </c>
      <c r="J15" s="354">
        <v>0</v>
      </c>
      <c r="K15" s="355">
        <f t="shared" si="0"/>
        <v>0</v>
      </c>
      <c r="L15" s="356" t="s">
        <v>744</v>
      </c>
      <c r="M15" s="356" t="s">
        <v>745</v>
      </c>
      <c r="N15" s="356"/>
      <c r="O15" s="353" t="s">
        <v>692</v>
      </c>
    </row>
    <row r="16" spans="1:15" s="335" customFormat="1" ht="90">
      <c r="A16" s="331"/>
      <c r="B16" s="331"/>
      <c r="C16" s="331"/>
      <c r="D16" s="353" t="s">
        <v>595</v>
      </c>
      <c r="E16" s="353"/>
      <c r="F16" s="352"/>
      <c r="G16" s="352" t="s">
        <v>399</v>
      </c>
      <c r="H16" s="353" t="s">
        <v>37</v>
      </c>
      <c r="I16" s="354">
        <v>2</v>
      </c>
      <c r="J16" s="354">
        <v>0</v>
      </c>
      <c r="K16" s="355">
        <f t="shared" si="0"/>
        <v>0</v>
      </c>
      <c r="L16" s="356"/>
      <c r="M16" s="356"/>
      <c r="N16" s="356"/>
      <c r="O16" s="357" t="s">
        <v>693</v>
      </c>
    </row>
    <row r="17" spans="1:15" s="335" customFormat="1" ht="247.5">
      <c r="A17" s="331"/>
      <c r="B17" s="331"/>
      <c r="C17" s="331"/>
      <c r="D17" s="331"/>
      <c r="E17" s="331"/>
      <c r="F17" s="332"/>
      <c r="G17" s="352" t="s">
        <v>400</v>
      </c>
      <c r="H17" s="353" t="s">
        <v>36</v>
      </c>
      <c r="I17" s="354">
        <v>50</v>
      </c>
      <c r="J17" s="354">
        <v>0</v>
      </c>
      <c r="K17" s="355">
        <f t="shared" si="0"/>
        <v>0</v>
      </c>
      <c r="L17" s="356" t="s">
        <v>746</v>
      </c>
      <c r="M17" s="356" t="s">
        <v>747</v>
      </c>
      <c r="N17" s="356"/>
      <c r="O17" s="357" t="s">
        <v>694</v>
      </c>
    </row>
    <row r="18" spans="1:15" s="335" customFormat="1" ht="101.25">
      <c r="A18" s="331"/>
      <c r="B18" s="331"/>
      <c r="C18" s="331"/>
      <c r="D18" s="331"/>
      <c r="E18" s="331"/>
      <c r="F18" s="332"/>
      <c r="G18" s="352" t="s">
        <v>21</v>
      </c>
      <c r="H18" s="353" t="s">
        <v>35</v>
      </c>
      <c r="I18" s="354">
        <v>1</v>
      </c>
      <c r="J18" s="354">
        <v>0</v>
      </c>
      <c r="K18" s="355">
        <f t="shared" si="0"/>
        <v>0</v>
      </c>
      <c r="L18" s="356"/>
      <c r="M18" s="356"/>
      <c r="N18" s="356"/>
      <c r="O18" s="357" t="s">
        <v>695</v>
      </c>
    </row>
    <row r="19" spans="1:15" s="335" customFormat="1" ht="67.5">
      <c r="A19" s="331"/>
      <c r="B19" s="331"/>
      <c r="C19" s="331"/>
      <c r="D19" s="331"/>
      <c r="E19" s="331"/>
      <c r="F19" s="332"/>
      <c r="G19" s="352" t="s">
        <v>20</v>
      </c>
      <c r="H19" s="353" t="s">
        <v>401</v>
      </c>
      <c r="I19" s="354">
        <v>250</v>
      </c>
      <c r="J19" s="354">
        <v>0</v>
      </c>
      <c r="K19" s="355">
        <f t="shared" si="0"/>
        <v>0</v>
      </c>
      <c r="L19" s="356"/>
      <c r="M19" s="356"/>
      <c r="N19" s="356"/>
      <c r="O19" s="357" t="s">
        <v>696</v>
      </c>
    </row>
    <row r="20" spans="1:15" s="335" customFormat="1" ht="128.1" customHeight="1">
      <c r="A20" s="331"/>
      <c r="B20" s="331"/>
      <c r="C20" s="331"/>
      <c r="D20" s="353" t="s">
        <v>596</v>
      </c>
      <c r="E20" s="353"/>
      <c r="F20" s="352" t="s">
        <v>275</v>
      </c>
      <c r="G20" s="352"/>
      <c r="H20" s="353" t="s">
        <v>389</v>
      </c>
      <c r="I20" s="362">
        <v>1</v>
      </c>
      <c r="J20" s="362">
        <v>1</v>
      </c>
      <c r="K20" s="355">
        <f t="shared" si="0"/>
        <v>1</v>
      </c>
      <c r="L20" s="356"/>
      <c r="M20" s="356"/>
      <c r="N20" s="356"/>
      <c r="O20" s="357" t="s">
        <v>725</v>
      </c>
    </row>
    <row r="21" spans="1:15" s="335" customFormat="1" ht="123.75">
      <c r="A21" s="331"/>
      <c r="B21" s="331"/>
      <c r="C21" s="331"/>
      <c r="D21" s="331"/>
      <c r="E21" s="331"/>
      <c r="F21" s="352"/>
      <c r="G21" s="352" t="s">
        <v>390</v>
      </c>
      <c r="H21" s="353" t="s">
        <v>391</v>
      </c>
      <c r="I21" s="362">
        <v>1</v>
      </c>
      <c r="J21" s="362">
        <v>1</v>
      </c>
      <c r="K21" s="355">
        <f t="shared" si="0"/>
        <v>1</v>
      </c>
      <c r="L21" s="356"/>
      <c r="M21" s="356"/>
      <c r="N21" s="356"/>
      <c r="O21" s="357" t="s">
        <v>748</v>
      </c>
    </row>
    <row r="22" spans="1:15" s="335" customFormat="1" ht="135.94999999999999" customHeight="1">
      <c r="A22" s="331"/>
      <c r="B22" s="331"/>
      <c r="C22" s="331"/>
      <c r="D22" s="331"/>
      <c r="E22" s="331"/>
      <c r="F22" s="332"/>
      <c r="G22" s="352" t="s">
        <v>276</v>
      </c>
      <c r="H22" s="353" t="s">
        <v>392</v>
      </c>
      <c r="I22" s="362">
        <v>1</v>
      </c>
      <c r="J22" s="362">
        <v>1</v>
      </c>
      <c r="K22" s="355">
        <f t="shared" si="0"/>
        <v>1</v>
      </c>
      <c r="L22" s="356"/>
      <c r="M22" s="356"/>
      <c r="N22" s="356"/>
      <c r="O22" s="357" t="s">
        <v>749</v>
      </c>
    </row>
    <row r="23" spans="1:15" s="335" customFormat="1" ht="168.75">
      <c r="A23" s="331"/>
      <c r="B23" s="331"/>
      <c r="C23" s="331"/>
      <c r="D23" s="353" t="s">
        <v>597</v>
      </c>
      <c r="E23" s="353"/>
      <c r="F23" s="352"/>
      <c r="G23" s="352" t="s">
        <v>199</v>
      </c>
      <c r="H23" s="353" t="s">
        <v>393</v>
      </c>
      <c r="I23" s="362">
        <v>1</v>
      </c>
      <c r="J23" s="362">
        <v>1</v>
      </c>
      <c r="K23" s="355">
        <f t="shared" si="0"/>
        <v>1</v>
      </c>
      <c r="L23" s="356"/>
      <c r="M23" s="356"/>
      <c r="N23" s="356"/>
      <c r="O23" s="357" t="s">
        <v>697</v>
      </c>
    </row>
    <row r="24" spans="1:15" s="335" customFormat="1" ht="101.25">
      <c r="A24" s="331"/>
      <c r="B24" s="331"/>
      <c r="C24" s="331"/>
      <c r="D24" s="331"/>
      <c r="E24" s="331"/>
      <c r="F24" s="332"/>
      <c r="G24" s="352" t="s">
        <v>201</v>
      </c>
      <c r="H24" s="353" t="s">
        <v>394</v>
      </c>
      <c r="I24" s="362">
        <v>1</v>
      </c>
      <c r="J24" s="362">
        <v>1</v>
      </c>
      <c r="K24" s="355">
        <f t="shared" si="0"/>
        <v>1</v>
      </c>
      <c r="L24" s="356"/>
      <c r="M24" s="356"/>
      <c r="N24" s="356"/>
      <c r="O24" s="357" t="s">
        <v>698</v>
      </c>
    </row>
    <row r="25" spans="1:15" s="335" customFormat="1" ht="146.25">
      <c r="A25" s="331"/>
      <c r="B25" s="331"/>
      <c r="C25" s="331"/>
      <c r="D25" s="331"/>
      <c r="E25" s="331"/>
      <c r="F25" s="332"/>
      <c r="G25" s="352" t="s">
        <v>395</v>
      </c>
      <c r="H25" s="353" t="s">
        <v>396</v>
      </c>
      <c r="I25" s="362">
        <v>1</v>
      </c>
      <c r="J25" s="362">
        <v>1</v>
      </c>
      <c r="K25" s="355">
        <f t="shared" si="0"/>
        <v>1</v>
      </c>
      <c r="L25" s="356"/>
      <c r="M25" s="356"/>
      <c r="N25" s="356"/>
      <c r="O25" s="357" t="s">
        <v>750</v>
      </c>
    </row>
    <row r="26" spans="1:15" s="335" customFormat="1" ht="123.75">
      <c r="A26" s="331"/>
      <c r="B26" s="331"/>
      <c r="C26" s="331"/>
      <c r="D26" s="353" t="s">
        <v>598</v>
      </c>
      <c r="E26" s="353"/>
      <c r="F26" s="352" t="s">
        <v>402</v>
      </c>
      <c r="G26" s="352"/>
      <c r="H26" s="353" t="s">
        <v>403</v>
      </c>
      <c r="I26" s="362">
        <v>1</v>
      </c>
      <c r="J26" s="362">
        <v>1</v>
      </c>
      <c r="K26" s="355">
        <f t="shared" si="0"/>
        <v>1</v>
      </c>
      <c r="L26" s="333"/>
      <c r="M26" s="333"/>
      <c r="N26" s="333"/>
      <c r="O26" s="334"/>
    </row>
    <row r="27" spans="1:15" s="335" customFormat="1" ht="93" customHeight="1">
      <c r="A27" s="331"/>
      <c r="B27" s="331"/>
      <c r="C27" s="331"/>
      <c r="D27" s="353" t="s">
        <v>599</v>
      </c>
      <c r="E27" s="353"/>
      <c r="F27" s="352"/>
      <c r="G27" s="352" t="s">
        <v>560</v>
      </c>
      <c r="H27" s="353" t="s">
        <v>561</v>
      </c>
      <c r="I27" s="363">
        <v>3</v>
      </c>
      <c r="J27" s="363">
        <v>0</v>
      </c>
      <c r="K27" s="355">
        <f>J27/I27</f>
        <v>0</v>
      </c>
      <c r="L27" s="356" t="s">
        <v>700</v>
      </c>
      <c r="M27" s="356" t="s">
        <v>701</v>
      </c>
      <c r="N27" s="356"/>
      <c r="O27" s="357" t="s">
        <v>699</v>
      </c>
    </row>
    <row r="28" spans="1:15" s="335" customFormat="1" ht="135">
      <c r="A28" s="353"/>
      <c r="B28" s="353"/>
      <c r="C28" s="353"/>
      <c r="D28" s="353"/>
      <c r="E28" s="353"/>
      <c r="F28" s="352"/>
      <c r="G28" s="352" t="s">
        <v>279</v>
      </c>
      <c r="H28" s="353" t="s">
        <v>280</v>
      </c>
      <c r="I28" s="363">
        <v>1</v>
      </c>
      <c r="J28" s="363">
        <v>0</v>
      </c>
      <c r="K28" s="355">
        <f t="shared" ref="K28" si="1">J28/I28</f>
        <v>0</v>
      </c>
      <c r="L28" s="356" t="s">
        <v>751</v>
      </c>
      <c r="M28" s="356"/>
      <c r="N28" s="356"/>
      <c r="O28" s="357" t="s">
        <v>702</v>
      </c>
    </row>
    <row r="29" spans="1:15" s="335" customFormat="1" ht="91.5" customHeight="1">
      <c r="A29" s="353"/>
      <c r="B29" s="353"/>
      <c r="C29" s="353"/>
      <c r="D29" s="353" t="s">
        <v>600</v>
      </c>
      <c r="E29" s="353"/>
      <c r="F29" s="352"/>
      <c r="G29" s="352" t="s">
        <v>187</v>
      </c>
      <c r="H29" s="353" t="s">
        <v>601</v>
      </c>
      <c r="I29" s="354">
        <v>1</v>
      </c>
      <c r="J29" s="354">
        <v>1</v>
      </c>
      <c r="K29" s="355">
        <f>J29/I29</f>
        <v>1</v>
      </c>
      <c r="L29" s="356"/>
      <c r="M29" s="356"/>
      <c r="N29" s="356"/>
      <c r="O29" s="821"/>
    </row>
    <row r="30" spans="1:15" s="335" customFormat="1" ht="105.75" customHeight="1">
      <c r="A30" s="331"/>
      <c r="B30" s="331"/>
      <c r="C30" s="331"/>
      <c r="D30" s="331"/>
      <c r="E30" s="331"/>
      <c r="F30" s="332"/>
      <c r="G30" s="332"/>
      <c r="H30" s="353" t="s">
        <v>602</v>
      </c>
      <c r="I30" s="354">
        <v>1</v>
      </c>
      <c r="J30" s="354">
        <v>1</v>
      </c>
      <c r="K30" s="355">
        <f>J30/I30</f>
        <v>1</v>
      </c>
      <c r="L30" s="356"/>
      <c r="M30" s="356"/>
      <c r="N30" s="356"/>
      <c r="O30" s="822"/>
    </row>
    <row r="31" spans="1:15" s="337" customFormat="1" ht="225">
      <c r="A31" s="331"/>
      <c r="B31" s="331"/>
      <c r="C31" s="331"/>
      <c r="D31" s="331"/>
      <c r="E31" s="353" t="s">
        <v>603</v>
      </c>
      <c r="F31" s="366"/>
      <c r="G31" s="366"/>
      <c r="H31" s="353" t="s">
        <v>481</v>
      </c>
      <c r="I31" s="362">
        <v>0.95</v>
      </c>
      <c r="J31" s="538">
        <v>0.58730000000000004</v>
      </c>
      <c r="K31" s="539">
        <f t="shared" si="0"/>
        <v>0.61821052631578954</v>
      </c>
      <c r="L31" s="331" t="s">
        <v>795</v>
      </c>
      <c r="M31" s="331" t="s">
        <v>797</v>
      </c>
      <c r="N31" s="331"/>
      <c r="O31" s="332" t="s">
        <v>796</v>
      </c>
    </row>
    <row r="32" spans="1:15" s="335" customFormat="1" ht="112.5">
      <c r="A32" s="331"/>
      <c r="B32" s="331"/>
      <c r="C32" s="331"/>
      <c r="D32" s="353" t="s">
        <v>604</v>
      </c>
      <c r="E32" s="353"/>
      <c r="F32" s="352" t="s">
        <v>71</v>
      </c>
      <c r="G32" s="366"/>
      <c r="H32" s="353" t="s">
        <v>482</v>
      </c>
      <c r="I32" s="362">
        <v>1</v>
      </c>
      <c r="J32" s="362">
        <v>0.5</v>
      </c>
      <c r="K32" s="355">
        <f t="shared" si="0"/>
        <v>0.5</v>
      </c>
      <c r="L32" s="333"/>
      <c r="M32" s="333"/>
      <c r="N32" s="333"/>
      <c r="O32" s="334"/>
    </row>
    <row r="33" spans="1:15" s="335" customFormat="1" ht="78.75">
      <c r="A33" s="331"/>
      <c r="B33" s="331"/>
      <c r="C33" s="331"/>
      <c r="D33" s="331"/>
      <c r="E33" s="331"/>
      <c r="F33" s="338"/>
      <c r="G33" s="352" t="s">
        <v>306</v>
      </c>
      <c r="H33" s="353" t="s">
        <v>605</v>
      </c>
      <c r="I33" s="354">
        <v>2</v>
      </c>
      <c r="J33" s="354">
        <v>1</v>
      </c>
      <c r="K33" s="355">
        <f t="shared" si="0"/>
        <v>0.5</v>
      </c>
      <c r="L33" s="356"/>
      <c r="M33" s="356"/>
      <c r="N33" s="356"/>
      <c r="O33" s="357" t="s">
        <v>776</v>
      </c>
    </row>
    <row r="34" spans="1:15" s="335" customFormat="1" ht="90">
      <c r="A34" s="331"/>
      <c r="B34" s="331"/>
      <c r="C34" s="331"/>
      <c r="D34" s="331"/>
      <c r="E34" s="331"/>
      <c r="F34" s="338"/>
      <c r="G34" s="352" t="s">
        <v>83</v>
      </c>
      <c r="H34" s="353" t="s">
        <v>606</v>
      </c>
      <c r="I34" s="354">
        <v>2</v>
      </c>
      <c r="J34" s="354">
        <v>0</v>
      </c>
      <c r="K34" s="355">
        <f t="shared" si="0"/>
        <v>0</v>
      </c>
      <c r="L34" s="356"/>
      <c r="M34" s="356"/>
      <c r="N34" s="356"/>
      <c r="O34" s="357" t="s">
        <v>703</v>
      </c>
    </row>
    <row r="35" spans="1:15" s="335" customFormat="1" ht="90">
      <c r="A35" s="331"/>
      <c r="B35" s="331"/>
      <c r="C35" s="331"/>
      <c r="D35" s="331"/>
      <c r="E35" s="331"/>
      <c r="F35" s="338"/>
      <c r="G35" s="352" t="s">
        <v>84</v>
      </c>
      <c r="H35" s="353" t="s">
        <v>607</v>
      </c>
      <c r="I35" s="354">
        <v>2</v>
      </c>
      <c r="J35" s="354">
        <v>1</v>
      </c>
      <c r="K35" s="355">
        <f t="shared" si="0"/>
        <v>0.5</v>
      </c>
      <c r="L35" s="356"/>
      <c r="M35" s="356"/>
      <c r="N35" s="356"/>
      <c r="O35" s="357" t="s">
        <v>704</v>
      </c>
    </row>
    <row r="36" spans="1:15" s="335" customFormat="1" ht="112.5">
      <c r="A36" s="331"/>
      <c r="B36" s="331"/>
      <c r="C36" s="331"/>
      <c r="D36" s="331"/>
      <c r="E36" s="331"/>
      <c r="F36" s="338"/>
      <c r="G36" s="352" t="s">
        <v>86</v>
      </c>
      <c r="H36" s="353" t="s">
        <v>483</v>
      </c>
      <c r="I36" s="354">
        <v>10</v>
      </c>
      <c r="J36" s="354">
        <v>6</v>
      </c>
      <c r="K36" s="355">
        <f t="shared" si="0"/>
        <v>0.6</v>
      </c>
      <c r="L36" s="356"/>
      <c r="M36" s="356"/>
      <c r="N36" s="356"/>
      <c r="O36" s="357" t="s">
        <v>777</v>
      </c>
    </row>
    <row r="37" spans="1:15" s="335" customFormat="1" ht="315">
      <c r="A37" s="331"/>
      <c r="B37" s="331"/>
      <c r="C37" s="331"/>
      <c r="D37" s="353" t="s">
        <v>608</v>
      </c>
      <c r="E37" s="353"/>
      <c r="F37" s="352" t="s">
        <v>246</v>
      </c>
      <c r="G37" s="352"/>
      <c r="H37" s="353" t="s">
        <v>484</v>
      </c>
      <c r="I37" s="362">
        <v>1</v>
      </c>
      <c r="J37" s="358">
        <v>0.37840000000000001</v>
      </c>
      <c r="K37" s="364">
        <f t="shared" si="0"/>
        <v>0.37840000000000001</v>
      </c>
      <c r="L37" s="356" t="s">
        <v>713</v>
      </c>
      <c r="M37" s="333"/>
      <c r="N37" s="333"/>
      <c r="O37" s="334"/>
    </row>
    <row r="38" spans="1:15" s="335" customFormat="1" ht="67.5">
      <c r="A38" s="331"/>
      <c r="B38" s="331"/>
      <c r="C38" s="331"/>
      <c r="D38" s="331"/>
      <c r="E38" s="331"/>
      <c r="F38" s="332"/>
      <c r="G38" s="352" t="s">
        <v>90</v>
      </c>
      <c r="H38" s="353" t="s">
        <v>485</v>
      </c>
      <c r="I38" s="354">
        <v>16</v>
      </c>
      <c r="J38" s="354">
        <v>12</v>
      </c>
      <c r="K38" s="364">
        <f t="shared" si="0"/>
        <v>0.75</v>
      </c>
      <c r="L38" s="356" t="s">
        <v>609</v>
      </c>
      <c r="M38" s="356" t="s">
        <v>610</v>
      </c>
      <c r="N38" s="356"/>
      <c r="O38" s="357" t="s">
        <v>714</v>
      </c>
    </row>
    <row r="39" spans="1:15" s="335" customFormat="1" ht="135">
      <c r="A39" s="331"/>
      <c r="B39" s="331"/>
      <c r="C39" s="331"/>
      <c r="D39" s="331"/>
      <c r="E39" s="331"/>
      <c r="F39" s="332"/>
      <c r="G39" s="352" t="s">
        <v>104</v>
      </c>
      <c r="H39" s="353" t="s">
        <v>611</v>
      </c>
      <c r="I39" s="354">
        <v>18</v>
      </c>
      <c r="J39" s="354">
        <v>10</v>
      </c>
      <c r="K39" s="355">
        <f t="shared" si="0"/>
        <v>0.55555555555555558</v>
      </c>
      <c r="L39" s="356"/>
      <c r="M39" s="356"/>
      <c r="N39" s="356"/>
      <c r="O39" s="357" t="s">
        <v>778</v>
      </c>
    </row>
    <row r="40" spans="1:15" s="335" customFormat="1" ht="101.25">
      <c r="A40" s="331"/>
      <c r="B40" s="331"/>
      <c r="C40" s="331"/>
      <c r="D40" s="353" t="s">
        <v>612</v>
      </c>
      <c r="E40" s="353"/>
      <c r="F40" s="352" t="s">
        <v>613</v>
      </c>
      <c r="G40" s="366"/>
      <c r="H40" s="353" t="s">
        <v>491</v>
      </c>
      <c r="I40" s="362">
        <v>1</v>
      </c>
      <c r="J40" s="362">
        <v>0.5</v>
      </c>
      <c r="K40" s="355">
        <f t="shared" si="0"/>
        <v>0.5</v>
      </c>
      <c r="L40" s="333"/>
      <c r="M40" s="333"/>
      <c r="N40" s="333"/>
      <c r="O40" s="334"/>
    </row>
    <row r="41" spans="1:15" s="335" customFormat="1" ht="135">
      <c r="A41" s="331"/>
      <c r="B41" s="331"/>
      <c r="C41" s="331"/>
      <c r="D41" s="331"/>
      <c r="E41" s="331"/>
      <c r="F41" s="338"/>
      <c r="G41" s="352" t="s">
        <v>110</v>
      </c>
      <c r="H41" s="353" t="s">
        <v>614</v>
      </c>
      <c r="I41" s="354">
        <v>4</v>
      </c>
      <c r="J41" s="354">
        <v>2</v>
      </c>
      <c r="K41" s="355">
        <f t="shared" si="0"/>
        <v>0.5</v>
      </c>
      <c r="L41" s="356"/>
      <c r="M41" s="356"/>
      <c r="N41" s="356"/>
      <c r="O41" s="357" t="s">
        <v>790</v>
      </c>
    </row>
    <row r="42" spans="1:15" s="335" customFormat="1" ht="112.5">
      <c r="A42" s="331"/>
      <c r="B42" s="331"/>
      <c r="C42" s="331"/>
      <c r="D42" s="353" t="s">
        <v>615</v>
      </c>
      <c r="E42" s="353"/>
      <c r="F42" s="352" t="s">
        <v>250</v>
      </c>
      <c r="G42" s="366"/>
      <c r="H42" s="353" t="s">
        <v>497</v>
      </c>
      <c r="I42" s="362">
        <v>1</v>
      </c>
      <c r="J42" s="362">
        <v>0.9</v>
      </c>
      <c r="K42" s="355">
        <f t="shared" si="0"/>
        <v>0.9</v>
      </c>
      <c r="L42" s="333"/>
      <c r="M42" s="333"/>
      <c r="N42" s="333"/>
      <c r="O42" s="334"/>
    </row>
    <row r="43" spans="1:15" s="335" customFormat="1" ht="123.75">
      <c r="A43" s="331"/>
      <c r="B43" s="331"/>
      <c r="C43" s="331"/>
      <c r="D43" s="353"/>
      <c r="E43" s="353"/>
      <c r="F43" s="352"/>
      <c r="G43" s="352" t="s">
        <v>251</v>
      </c>
      <c r="H43" s="353" t="s">
        <v>501</v>
      </c>
      <c r="I43" s="354">
        <v>10</v>
      </c>
      <c r="J43" s="354">
        <v>9</v>
      </c>
      <c r="K43" s="364">
        <f t="shared" si="0"/>
        <v>0.9</v>
      </c>
      <c r="L43" s="356"/>
      <c r="M43" s="356"/>
      <c r="N43" s="356"/>
      <c r="O43" s="357" t="s">
        <v>791</v>
      </c>
    </row>
    <row r="44" spans="1:15" s="335" customFormat="1" ht="90">
      <c r="A44" s="331"/>
      <c r="B44" s="331"/>
      <c r="C44" s="331"/>
      <c r="D44" s="353" t="s">
        <v>616</v>
      </c>
      <c r="E44" s="353"/>
      <c r="F44" s="352" t="s">
        <v>253</v>
      </c>
      <c r="G44" s="366"/>
      <c r="H44" s="353" t="s">
        <v>506</v>
      </c>
      <c r="I44" s="362">
        <v>1</v>
      </c>
      <c r="J44" s="358">
        <v>0.59499999999999997</v>
      </c>
      <c r="K44" s="364">
        <f t="shared" si="0"/>
        <v>0.59499999999999997</v>
      </c>
      <c r="L44" s="333"/>
      <c r="M44" s="333"/>
      <c r="N44" s="333"/>
      <c r="O44" s="334"/>
    </row>
    <row r="45" spans="1:15" s="335" customFormat="1" ht="112.5">
      <c r="A45" s="331"/>
      <c r="B45" s="331"/>
      <c r="C45" s="331"/>
      <c r="D45" s="353"/>
      <c r="E45" s="353"/>
      <c r="F45" s="366"/>
      <c r="G45" s="352" t="s">
        <v>119</v>
      </c>
      <c r="H45" s="353" t="s">
        <v>617</v>
      </c>
      <c r="I45" s="354">
        <v>8</v>
      </c>
      <c r="J45" s="354">
        <v>0</v>
      </c>
      <c r="K45" s="355">
        <f t="shared" si="0"/>
        <v>0</v>
      </c>
      <c r="L45" s="333"/>
      <c r="M45" s="333"/>
      <c r="N45" s="333"/>
      <c r="O45" s="336" t="s">
        <v>798</v>
      </c>
    </row>
    <row r="46" spans="1:15" s="335" customFormat="1" ht="78.75">
      <c r="A46" s="331"/>
      <c r="B46" s="331"/>
      <c r="C46" s="331"/>
      <c r="D46" s="331"/>
      <c r="E46" s="331"/>
      <c r="F46" s="338"/>
      <c r="G46" s="352" t="s">
        <v>122</v>
      </c>
      <c r="H46" s="353" t="s">
        <v>618</v>
      </c>
      <c r="I46" s="354">
        <v>20</v>
      </c>
      <c r="J46" s="354">
        <v>18</v>
      </c>
      <c r="K46" s="355">
        <f t="shared" si="0"/>
        <v>0.9</v>
      </c>
      <c r="L46" s="356"/>
      <c r="M46" s="356"/>
      <c r="N46" s="356"/>
      <c r="O46" s="357" t="s">
        <v>779</v>
      </c>
    </row>
    <row r="47" spans="1:15" s="335" customFormat="1" ht="90">
      <c r="A47" s="331"/>
      <c r="B47" s="331"/>
      <c r="C47" s="331"/>
      <c r="D47" s="331"/>
      <c r="E47" s="331"/>
      <c r="F47" s="338"/>
      <c r="G47" s="352" t="s">
        <v>127</v>
      </c>
      <c r="H47" s="353" t="s">
        <v>368</v>
      </c>
      <c r="I47" s="354">
        <v>3</v>
      </c>
      <c r="J47" s="354">
        <v>3</v>
      </c>
      <c r="K47" s="355">
        <f t="shared" si="0"/>
        <v>1</v>
      </c>
      <c r="L47" s="356"/>
      <c r="M47" s="356"/>
      <c r="N47" s="356"/>
      <c r="O47" s="357" t="s">
        <v>705</v>
      </c>
    </row>
    <row r="48" spans="1:15" s="335" customFormat="1" ht="112.5">
      <c r="A48" s="331"/>
      <c r="B48" s="331"/>
      <c r="C48" s="331"/>
      <c r="D48" s="331"/>
      <c r="E48" s="331"/>
      <c r="F48" s="338"/>
      <c r="G48" s="352" t="s">
        <v>128</v>
      </c>
      <c r="H48" s="353" t="s">
        <v>619</v>
      </c>
      <c r="I48" s="354">
        <v>60</v>
      </c>
      <c r="J48" s="354">
        <v>30</v>
      </c>
      <c r="K48" s="355">
        <f t="shared" si="0"/>
        <v>0.5</v>
      </c>
      <c r="L48" s="356"/>
      <c r="M48" s="356"/>
      <c r="N48" s="356"/>
      <c r="O48" s="357" t="s">
        <v>706</v>
      </c>
    </row>
    <row r="49" spans="1:15" s="335" customFormat="1" ht="57">
      <c r="A49" s="331"/>
      <c r="B49" s="331"/>
      <c r="C49" s="331"/>
      <c r="D49" s="331"/>
      <c r="E49" s="331"/>
      <c r="F49" s="338"/>
      <c r="G49" s="352" t="s">
        <v>131</v>
      </c>
      <c r="H49" s="353" t="s">
        <v>620</v>
      </c>
      <c r="I49" s="354">
        <v>275</v>
      </c>
      <c r="J49" s="354">
        <v>135</v>
      </c>
      <c r="K49" s="355">
        <f t="shared" si="0"/>
        <v>0.49090909090909091</v>
      </c>
      <c r="L49" s="356"/>
      <c r="M49" s="356"/>
      <c r="N49" s="356"/>
      <c r="O49" s="365" t="s">
        <v>780</v>
      </c>
    </row>
    <row r="50" spans="1:15" s="335" customFormat="1" ht="90">
      <c r="A50" s="331"/>
      <c r="B50" s="331"/>
      <c r="C50" s="331"/>
      <c r="D50" s="331"/>
      <c r="E50" s="331"/>
      <c r="F50" s="366"/>
      <c r="G50" s="352" t="s">
        <v>135</v>
      </c>
      <c r="H50" s="353" t="s">
        <v>371</v>
      </c>
      <c r="I50" s="354">
        <v>41</v>
      </c>
      <c r="J50" s="354">
        <v>28</v>
      </c>
      <c r="K50" s="364">
        <f t="shared" si="0"/>
        <v>0.68292682926829273</v>
      </c>
      <c r="L50" s="356"/>
      <c r="M50" s="356"/>
      <c r="N50" s="356"/>
      <c r="O50" s="357" t="s">
        <v>781</v>
      </c>
    </row>
    <row r="51" spans="1:15" s="337" customFormat="1" ht="101.25">
      <c r="A51" s="331"/>
      <c r="B51" s="331"/>
      <c r="C51" s="331"/>
      <c r="D51" s="331"/>
      <c r="E51" s="331"/>
      <c r="F51" s="352" t="s">
        <v>254</v>
      </c>
      <c r="G51" s="366"/>
      <c r="H51" s="353" t="s">
        <v>517</v>
      </c>
      <c r="I51" s="362">
        <v>1</v>
      </c>
      <c r="J51" s="362">
        <v>0.45</v>
      </c>
      <c r="K51" s="355">
        <f t="shared" si="0"/>
        <v>0.45</v>
      </c>
      <c r="L51" s="331"/>
      <c r="M51" s="331"/>
      <c r="N51" s="331"/>
      <c r="O51" s="339"/>
    </row>
    <row r="52" spans="1:15" s="335" customFormat="1" ht="67.5">
      <c r="A52" s="331"/>
      <c r="B52" s="331"/>
      <c r="C52" s="331"/>
      <c r="D52" s="331"/>
      <c r="E52" s="331"/>
      <c r="F52" s="338"/>
      <c r="G52" s="352" t="s">
        <v>621</v>
      </c>
      <c r="H52" s="353" t="s">
        <v>374</v>
      </c>
      <c r="I52" s="354">
        <v>5</v>
      </c>
      <c r="J52" s="354">
        <v>4</v>
      </c>
      <c r="K52" s="355">
        <f t="shared" si="0"/>
        <v>0.8</v>
      </c>
      <c r="L52" s="356"/>
      <c r="M52" s="356"/>
      <c r="N52" s="356"/>
      <c r="O52" s="357" t="s">
        <v>783</v>
      </c>
    </row>
    <row r="53" spans="1:15" s="335" customFormat="1" ht="78.75">
      <c r="A53" s="331"/>
      <c r="B53" s="331"/>
      <c r="C53" s="331"/>
      <c r="D53" s="331"/>
      <c r="E53" s="331"/>
      <c r="F53" s="338"/>
      <c r="G53" s="352" t="s">
        <v>140</v>
      </c>
      <c r="H53" s="353" t="s">
        <v>375</v>
      </c>
      <c r="I53" s="354">
        <v>6</v>
      </c>
      <c r="J53" s="354">
        <v>0</v>
      </c>
      <c r="K53" s="355">
        <f t="shared" si="0"/>
        <v>0</v>
      </c>
      <c r="L53" s="356"/>
      <c r="M53" s="356"/>
      <c r="N53" s="333"/>
      <c r="O53" s="357" t="s">
        <v>784</v>
      </c>
    </row>
    <row r="54" spans="1:15" s="335" customFormat="1" ht="123.75">
      <c r="A54" s="331"/>
      <c r="B54" s="331"/>
      <c r="C54" s="331"/>
      <c r="D54" s="331"/>
      <c r="E54" s="331"/>
      <c r="F54" s="338"/>
      <c r="G54" s="352" t="s">
        <v>257</v>
      </c>
      <c r="H54" s="353" t="s">
        <v>622</v>
      </c>
      <c r="I54" s="354">
        <v>1</v>
      </c>
      <c r="J54" s="354">
        <v>0</v>
      </c>
      <c r="K54" s="355">
        <f t="shared" si="0"/>
        <v>0</v>
      </c>
      <c r="L54" s="356"/>
      <c r="M54" s="356"/>
      <c r="N54" s="356"/>
      <c r="O54" s="357" t="s">
        <v>785</v>
      </c>
    </row>
    <row r="55" spans="1:15" s="335" customFormat="1" ht="114.95" customHeight="1">
      <c r="A55" s="331"/>
      <c r="B55" s="331"/>
      <c r="C55" s="331"/>
      <c r="D55" s="331"/>
      <c r="E55" s="331"/>
      <c r="F55" s="338"/>
      <c r="G55" s="352" t="s">
        <v>260</v>
      </c>
      <c r="H55" s="353" t="s">
        <v>448</v>
      </c>
      <c r="I55" s="354">
        <v>3</v>
      </c>
      <c r="J55" s="354">
        <v>3</v>
      </c>
      <c r="K55" s="355">
        <f t="shared" si="0"/>
        <v>1</v>
      </c>
      <c r="L55" s="333"/>
      <c r="M55" s="333"/>
      <c r="N55" s="333"/>
      <c r="O55" s="357" t="s">
        <v>782</v>
      </c>
    </row>
    <row r="56" spans="1:15" s="335" customFormat="1" ht="101.25">
      <c r="A56" s="331"/>
      <c r="B56" s="331"/>
      <c r="C56" s="331"/>
      <c r="D56" s="331"/>
      <c r="E56" s="331"/>
      <c r="F56" s="352" t="s">
        <v>263</v>
      </c>
      <c r="G56" s="366"/>
      <c r="H56" s="353" t="s">
        <v>529</v>
      </c>
      <c r="I56" s="362">
        <v>1</v>
      </c>
      <c r="J56" s="358">
        <v>0.62590000000000001</v>
      </c>
      <c r="K56" s="364">
        <f t="shared" si="0"/>
        <v>0.62590000000000001</v>
      </c>
      <c r="L56" s="333"/>
      <c r="M56" s="333"/>
      <c r="N56" s="333"/>
      <c r="O56" s="334"/>
    </row>
    <row r="57" spans="1:15" s="335" customFormat="1" ht="78.75">
      <c r="A57" s="331"/>
      <c r="B57" s="331"/>
      <c r="C57" s="331"/>
      <c r="D57" s="331"/>
      <c r="E57" s="331"/>
      <c r="F57" s="338"/>
      <c r="G57" s="353" t="s">
        <v>143</v>
      </c>
      <c r="H57" s="352" t="s">
        <v>623</v>
      </c>
      <c r="I57" s="354">
        <v>400</v>
      </c>
      <c r="J57" s="354">
        <v>140</v>
      </c>
      <c r="K57" s="355">
        <f>J57/I57</f>
        <v>0.35</v>
      </c>
      <c r="L57" s="356"/>
      <c r="M57" s="356"/>
      <c r="N57" s="356"/>
      <c r="O57" s="357" t="s">
        <v>786</v>
      </c>
    </row>
    <row r="58" spans="1:15" s="335" customFormat="1" ht="90">
      <c r="A58" s="331"/>
      <c r="B58" s="331"/>
      <c r="C58" s="331"/>
      <c r="D58" s="331"/>
      <c r="E58" s="331"/>
      <c r="F58" s="338"/>
      <c r="G58" s="353" t="s">
        <v>265</v>
      </c>
      <c r="H58" s="353" t="s">
        <v>624</v>
      </c>
      <c r="I58" s="354">
        <v>36</v>
      </c>
      <c r="J58" s="354">
        <v>19</v>
      </c>
      <c r="K58" s="355">
        <f t="shared" si="0"/>
        <v>0.52777777777777779</v>
      </c>
      <c r="L58" s="356"/>
      <c r="M58" s="356"/>
      <c r="N58" s="356"/>
      <c r="O58" s="357" t="s">
        <v>787</v>
      </c>
    </row>
    <row r="59" spans="1:15" s="335" customFormat="1" ht="111" customHeight="1">
      <c r="A59" s="331"/>
      <c r="B59" s="331"/>
      <c r="C59" s="331"/>
      <c r="D59" s="331"/>
      <c r="E59" s="331"/>
      <c r="F59" s="338"/>
      <c r="G59" s="353" t="s">
        <v>155</v>
      </c>
      <c r="H59" s="353" t="s">
        <v>533</v>
      </c>
      <c r="I59" s="354">
        <v>2</v>
      </c>
      <c r="J59" s="354">
        <v>2</v>
      </c>
      <c r="K59" s="355">
        <f t="shared" si="0"/>
        <v>1</v>
      </c>
      <c r="L59" s="356"/>
      <c r="M59" s="356"/>
      <c r="N59" s="356"/>
      <c r="O59" s="357" t="s">
        <v>788</v>
      </c>
    </row>
    <row r="60" spans="1:15" s="335" customFormat="1" ht="123.75">
      <c r="A60" s="331"/>
      <c r="B60" s="331"/>
      <c r="C60" s="331"/>
      <c r="D60" s="331"/>
      <c r="E60" s="331"/>
      <c r="F60" s="352" t="s">
        <v>625</v>
      </c>
      <c r="G60" s="366"/>
      <c r="H60" s="353" t="s">
        <v>535</v>
      </c>
      <c r="I60" s="362">
        <v>1</v>
      </c>
      <c r="J60" s="358">
        <v>0.74970000000000003</v>
      </c>
      <c r="K60" s="364">
        <f t="shared" si="0"/>
        <v>0.74970000000000003</v>
      </c>
      <c r="L60" s="333"/>
      <c r="M60" s="333"/>
      <c r="N60" s="333"/>
      <c r="O60" s="334"/>
    </row>
    <row r="61" spans="1:15" s="335" customFormat="1" ht="146.25">
      <c r="A61" s="331"/>
      <c r="B61" s="331"/>
      <c r="C61" s="331"/>
      <c r="D61" s="331"/>
      <c r="E61" s="331"/>
      <c r="F61" s="338"/>
      <c r="G61" s="352" t="s">
        <v>626</v>
      </c>
      <c r="H61" s="353" t="s">
        <v>627</v>
      </c>
      <c r="I61" s="354">
        <v>13</v>
      </c>
      <c r="J61" s="354">
        <v>10</v>
      </c>
      <c r="K61" s="364">
        <f t="shared" si="0"/>
        <v>0.76923076923076927</v>
      </c>
      <c r="L61" s="356" t="s">
        <v>707</v>
      </c>
      <c r="M61" s="356"/>
      <c r="N61" s="356"/>
      <c r="O61" s="357" t="s">
        <v>789</v>
      </c>
    </row>
    <row r="62" spans="1:15" s="335" customFormat="1" ht="78.75">
      <c r="A62" s="331"/>
      <c r="B62" s="331"/>
      <c r="C62" s="331"/>
      <c r="D62" s="331"/>
      <c r="E62" s="331"/>
      <c r="F62" s="338"/>
      <c r="G62" s="352" t="s">
        <v>164</v>
      </c>
      <c r="H62" s="353" t="s">
        <v>628</v>
      </c>
      <c r="I62" s="354">
        <v>25</v>
      </c>
      <c r="J62" s="354">
        <v>12</v>
      </c>
      <c r="K62" s="364">
        <f t="shared" si="0"/>
        <v>0.48</v>
      </c>
      <c r="L62" s="356"/>
      <c r="M62" s="356"/>
      <c r="N62" s="356"/>
      <c r="O62" s="357" t="s">
        <v>715</v>
      </c>
    </row>
    <row r="63" spans="1:15" s="335" customFormat="1" ht="112.5">
      <c r="A63" s="331"/>
      <c r="B63" s="331"/>
      <c r="C63" s="331"/>
      <c r="D63" s="331"/>
      <c r="E63" s="331"/>
      <c r="F63" s="338"/>
      <c r="G63" s="352" t="s">
        <v>173</v>
      </c>
      <c r="H63" s="353" t="s">
        <v>629</v>
      </c>
      <c r="I63" s="354">
        <v>1</v>
      </c>
      <c r="J63" s="354">
        <v>1</v>
      </c>
      <c r="K63" s="355">
        <f t="shared" si="0"/>
        <v>1</v>
      </c>
      <c r="L63" s="356"/>
      <c r="M63" s="356"/>
      <c r="N63" s="356"/>
      <c r="O63" s="357" t="s">
        <v>716</v>
      </c>
    </row>
    <row r="65" spans="1:6">
      <c r="A65" s="340" t="s">
        <v>630</v>
      </c>
      <c r="B65" s="340"/>
      <c r="C65" s="340"/>
      <c r="D65" s="340"/>
      <c r="E65" s="340"/>
      <c r="F65" s="340"/>
    </row>
    <row r="66" spans="1:6">
      <c r="A66" s="340" t="s">
        <v>631</v>
      </c>
      <c r="B66" s="340"/>
      <c r="C66" s="340"/>
      <c r="D66" s="340"/>
      <c r="E66" s="340"/>
      <c r="F66" s="340"/>
    </row>
    <row r="67" spans="1:6">
      <c r="A67" s="340" t="s">
        <v>632</v>
      </c>
      <c r="B67" s="340"/>
      <c r="C67" s="340"/>
      <c r="D67" s="340"/>
      <c r="E67" s="340"/>
      <c r="F67" s="340"/>
    </row>
    <row r="68" spans="1:6">
      <c r="A68" s="340" t="s">
        <v>633</v>
      </c>
      <c r="B68" s="340"/>
      <c r="C68" s="340"/>
      <c r="D68" s="340"/>
      <c r="E68" s="340"/>
      <c r="F68" s="340"/>
    </row>
    <row r="69" spans="1:6">
      <c r="A69" s="340" t="s">
        <v>634</v>
      </c>
      <c r="B69" s="340"/>
      <c r="C69" s="340"/>
      <c r="D69" s="340"/>
      <c r="E69" s="340"/>
      <c r="F69" s="340"/>
    </row>
    <row r="70" spans="1:6">
      <c r="A70" s="340" t="s">
        <v>635</v>
      </c>
      <c r="B70" s="340"/>
      <c r="C70" s="340"/>
      <c r="D70" s="340"/>
      <c r="E70" s="340"/>
      <c r="F70" s="340"/>
    </row>
    <row r="71" spans="1:6">
      <c r="A71" s="340" t="s">
        <v>636</v>
      </c>
      <c r="B71" s="340"/>
      <c r="C71" s="340"/>
      <c r="D71" s="340"/>
      <c r="E71" s="340"/>
      <c r="F71" s="340"/>
    </row>
    <row r="72" spans="1:6">
      <c r="A72" s="340" t="s">
        <v>637</v>
      </c>
      <c r="B72" s="340"/>
      <c r="C72" s="340"/>
      <c r="D72" s="340"/>
      <c r="E72" s="340"/>
      <c r="F72" s="340"/>
    </row>
    <row r="73" spans="1:6">
      <c r="A73" s="340" t="s">
        <v>638</v>
      </c>
      <c r="B73" s="340"/>
      <c r="C73" s="340"/>
      <c r="D73" s="340"/>
      <c r="E73" s="340"/>
      <c r="F73" s="340"/>
    </row>
    <row r="74" spans="1:6">
      <c r="A74" s="340" t="s">
        <v>639</v>
      </c>
      <c r="B74" s="340"/>
      <c r="C74" s="340"/>
      <c r="D74" s="340"/>
      <c r="E74" s="340"/>
      <c r="F74" s="340"/>
    </row>
    <row r="75" spans="1:6">
      <c r="A75" s="340" t="s">
        <v>640</v>
      </c>
      <c r="B75" s="340"/>
      <c r="C75" s="340"/>
      <c r="D75" s="340"/>
      <c r="E75" s="340"/>
      <c r="F75" s="340"/>
    </row>
    <row r="76" spans="1:6">
      <c r="A76" s="340" t="s">
        <v>641</v>
      </c>
      <c r="B76" s="340"/>
      <c r="C76" s="340"/>
      <c r="D76" s="340"/>
      <c r="E76" s="340"/>
      <c r="F76" s="340"/>
    </row>
    <row r="77" spans="1:6">
      <c r="A77" s="340" t="s">
        <v>642</v>
      </c>
      <c r="B77" s="340"/>
      <c r="C77" s="340"/>
      <c r="D77" s="340"/>
      <c r="E77" s="340"/>
      <c r="F77" s="340"/>
    </row>
    <row r="78" spans="1:6">
      <c r="A78" s="340" t="s">
        <v>643</v>
      </c>
      <c r="B78" s="340"/>
      <c r="C78" s="340"/>
      <c r="D78" s="340"/>
      <c r="E78" s="340"/>
      <c r="F78" s="340"/>
    </row>
    <row r="79" spans="1:6">
      <c r="A79" s="340" t="s">
        <v>644</v>
      </c>
      <c r="B79" s="340"/>
      <c r="C79" s="340"/>
      <c r="D79" s="340"/>
      <c r="E79" s="340"/>
      <c r="F79" s="340"/>
    </row>
    <row r="80" spans="1:6">
      <c r="A80" s="340" t="s">
        <v>645</v>
      </c>
      <c r="B80" s="340"/>
      <c r="C80" s="340"/>
      <c r="D80" s="340"/>
      <c r="E80" s="340"/>
      <c r="F80" s="340"/>
    </row>
  </sheetData>
  <mergeCells count="5">
    <mergeCell ref="B1:O1"/>
    <mergeCell ref="B2:O2"/>
    <mergeCell ref="E3:G3"/>
    <mergeCell ref="O11:O12"/>
    <mergeCell ref="O29:O3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 1 TA.2023 ok</vt:lpstr>
      <vt:lpstr>Form 2. KP1 TA. 2023</vt:lpstr>
      <vt:lpstr>Form 3a TA. 2023</vt:lpstr>
      <vt:lpstr>Form 3b TA.2023</vt:lpstr>
      <vt:lpstr>Form 6 TA. 2023 ok</vt:lpstr>
      <vt:lpstr>Form 7 TA. 2023 ok</vt:lpstr>
      <vt:lpstr>Form 8 TA. 2023 ok</vt:lpstr>
      <vt:lpstr>Form 9 TA. 2023 ok</vt:lpstr>
      <vt:lpstr>Form 10 TA. 2023 ok</vt:lpstr>
      <vt:lpstr>'Form 2. KP1 TA.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sinar</cp:lastModifiedBy>
  <cp:lastPrinted>2024-01-10T06:19:44Z</cp:lastPrinted>
  <dcterms:created xsi:type="dcterms:W3CDTF">2022-08-29T23:52:18Z</dcterms:created>
  <dcterms:modified xsi:type="dcterms:W3CDTF">2024-06-20T07:47:30Z</dcterms:modified>
</cp:coreProperties>
</file>